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4910" windowHeight="7410"/>
  </bookViews>
  <sheets>
    <sheet name="stat.1800" sheetId="1" r:id="rId1"/>
  </sheets>
  <calcPr calcId="0"/>
</workbook>
</file>

<file path=xl/calcChain.xml><?xml version="1.0" encoding="utf-8"?>
<calcChain xmlns="http://schemas.openxmlformats.org/spreadsheetml/2006/main">
  <c r="C2" i="1"/>
  <c r="D2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210"/>
  <c r="D210"/>
  <c r="C211"/>
  <c r="D211"/>
  <c r="C212"/>
  <c r="D212"/>
  <c r="C213"/>
  <c r="D213"/>
  <c r="C214"/>
  <c r="D214"/>
  <c r="C215"/>
  <c r="D215"/>
  <c r="C216"/>
  <c r="D216"/>
  <c r="C217"/>
  <c r="D217"/>
  <c r="C218"/>
  <c r="D218"/>
  <c r="C219"/>
  <c r="D219"/>
  <c r="C220"/>
  <c r="D220"/>
  <c r="C221"/>
  <c r="D221"/>
  <c r="C222"/>
  <c r="D222"/>
  <c r="C223"/>
  <c r="D223"/>
  <c r="C224"/>
  <c r="D224"/>
  <c r="C225"/>
  <c r="D225"/>
  <c r="C226"/>
  <c r="D226"/>
  <c r="C227"/>
  <c r="D227"/>
  <c r="C228"/>
  <c r="D228"/>
  <c r="C229"/>
  <c r="D229"/>
  <c r="C230"/>
  <c r="D230"/>
  <c r="C231"/>
  <c r="D231"/>
  <c r="C232"/>
  <c r="D232"/>
  <c r="C233"/>
  <c r="D233"/>
  <c r="C234"/>
  <c r="D234"/>
  <c r="C235"/>
  <c r="D235"/>
  <c r="C236"/>
  <c r="D236"/>
  <c r="C237"/>
  <c r="D237"/>
  <c r="C238"/>
  <c r="D238"/>
  <c r="C239"/>
  <c r="D239"/>
  <c r="C240"/>
  <c r="D240"/>
  <c r="C241"/>
  <c r="D241"/>
  <c r="C242"/>
  <c r="D242"/>
  <c r="C243"/>
  <c r="D243"/>
  <c r="C244"/>
  <c r="D244"/>
  <c r="C245"/>
  <c r="D245"/>
  <c r="C246"/>
  <c r="D246"/>
  <c r="C247"/>
  <c r="D247"/>
  <c r="C248"/>
  <c r="D248"/>
  <c r="C249"/>
  <c r="D249"/>
  <c r="C250"/>
  <c r="D250"/>
  <c r="C251"/>
  <c r="D251"/>
  <c r="C252"/>
  <c r="D252"/>
  <c r="C253"/>
  <c r="D253"/>
  <c r="C254"/>
  <c r="D254"/>
  <c r="C255"/>
  <c r="D255"/>
  <c r="C256"/>
  <c r="D256"/>
  <c r="C257"/>
  <c r="D257"/>
  <c r="C258"/>
  <c r="D258"/>
  <c r="C259"/>
  <c r="D259"/>
  <c r="C260"/>
  <c r="D260"/>
  <c r="C261"/>
  <c r="D261"/>
  <c r="C262"/>
  <c r="D262"/>
  <c r="C263"/>
  <c r="D263"/>
  <c r="C264"/>
  <c r="D264"/>
  <c r="C265"/>
  <c r="D265"/>
  <c r="C266"/>
  <c r="D266"/>
  <c r="C267"/>
  <c r="D267"/>
  <c r="C268"/>
  <c r="D268"/>
  <c r="C269"/>
  <c r="D269"/>
  <c r="C270"/>
  <c r="D270"/>
  <c r="C271"/>
  <c r="D271"/>
  <c r="C272"/>
  <c r="D272"/>
  <c r="C273"/>
  <c r="D273"/>
  <c r="C274"/>
  <c r="D274"/>
  <c r="C275"/>
  <c r="D275"/>
  <c r="C276"/>
  <c r="D276"/>
  <c r="C277"/>
  <c r="D277"/>
  <c r="C278"/>
  <c r="D278"/>
  <c r="C279"/>
  <c r="D279"/>
  <c r="C280"/>
  <c r="D280"/>
  <c r="C281"/>
  <c r="D281"/>
  <c r="C282"/>
  <c r="D282"/>
  <c r="C283"/>
  <c r="D283"/>
  <c r="C284"/>
  <c r="D284"/>
  <c r="C285"/>
  <c r="D285"/>
  <c r="C286"/>
  <c r="D286"/>
  <c r="C287"/>
  <c r="D287"/>
  <c r="C288"/>
  <c r="D288"/>
  <c r="C289"/>
  <c r="D289"/>
  <c r="C290"/>
  <c r="D290"/>
  <c r="C291"/>
  <c r="D291"/>
  <c r="C292"/>
  <c r="D292"/>
  <c r="C293"/>
  <c r="D293"/>
  <c r="C294"/>
  <c r="D294"/>
  <c r="C295"/>
  <c r="D295"/>
  <c r="C296"/>
  <c r="D296"/>
  <c r="C297"/>
  <c r="D297"/>
  <c r="C298"/>
  <c r="D298"/>
  <c r="C299"/>
  <c r="D299"/>
  <c r="C300"/>
  <c r="D300"/>
  <c r="C301"/>
  <c r="D301"/>
  <c r="C302"/>
  <c r="D302"/>
  <c r="C303"/>
  <c r="D303"/>
  <c r="C304"/>
  <c r="D304"/>
  <c r="C305"/>
  <c r="D305"/>
  <c r="C306"/>
  <c r="D306"/>
  <c r="C307"/>
  <c r="D307"/>
  <c r="C308"/>
  <c r="D308"/>
  <c r="C309"/>
  <c r="D309"/>
  <c r="C310"/>
  <c r="D310"/>
  <c r="C311"/>
  <c r="D311"/>
  <c r="C312"/>
  <c r="D312"/>
  <c r="C313"/>
  <c r="D313"/>
  <c r="C314"/>
  <c r="D314"/>
  <c r="C315"/>
  <c r="D315"/>
  <c r="C316"/>
  <c r="D316"/>
  <c r="C317"/>
  <c r="D317"/>
  <c r="C318"/>
  <c r="D318"/>
  <c r="C319"/>
  <c r="D319"/>
  <c r="C320"/>
  <c r="D320"/>
  <c r="C321"/>
  <c r="D321"/>
  <c r="C322"/>
  <c r="D322"/>
  <c r="C323"/>
  <c r="D323"/>
  <c r="C324"/>
  <c r="D324"/>
  <c r="C325"/>
  <c r="D325"/>
  <c r="C326"/>
  <c r="D326"/>
  <c r="C327"/>
  <c r="D327"/>
  <c r="C328"/>
  <c r="D328"/>
  <c r="C329"/>
  <c r="D329"/>
  <c r="C330"/>
  <c r="D330"/>
  <c r="C331"/>
  <c r="D331"/>
  <c r="C332"/>
  <c r="D332"/>
  <c r="C333"/>
  <c r="D333"/>
  <c r="C334"/>
  <c r="D334"/>
  <c r="C335"/>
  <c r="D335"/>
  <c r="C336"/>
  <c r="D336"/>
  <c r="C337"/>
  <c r="D337"/>
  <c r="C338"/>
  <c r="D338"/>
  <c r="C339"/>
  <c r="D339"/>
  <c r="C340"/>
  <c r="D340"/>
  <c r="C341"/>
  <c r="D341"/>
  <c r="C342"/>
  <c r="D342"/>
  <c r="C343"/>
  <c r="D343"/>
  <c r="C344"/>
  <c r="D344"/>
  <c r="C345"/>
  <c r="D345"/>
  <c r="C346"/>
  <c r="D346"/>
  <c r="C347"/>
  <c r="D347"/>
  <c r="C348"/>
  <c r="D348"/>
  <c r="C349"/>
  <c r="D349"/>
  <c r="C350"/>
  <c r="D350"/>
  <c r="C351"/>
  <c r="D351"/>
  <c r="C352"/>
  <c r="D352"/>
  <c r="C353"/>
  <c r="D353"/>
  <c r="C354"/>
  <c r="D354"/>
  <c r="C355"/>
  <c r="D355"/>
  <c r="C356"/>
  <c r="D356"/>
  <c r="C357"/>
  <c r="D357"/>
  <c r="C358"/>
  <c r="D358"/>
  <c r="C359"/>
  <c r="D359"/>
  <c r="C360"/>
  <c r="D360"/>
  <c r="C361"/>
  <c r="D361"/>
  <c r="C362"/>
  <c r="D362"/>
  <c r="C363"/>
  <c r="D363"/>
  <c r="C364"/>
  <c r="D364"/>
  <c r="C365"/>
  <c r="D365"/>
  <c r="C366"/>
  <c r="D366"/>
  <c r="C367"/>
  <c r="D367"/>
  <c r="C368"/>
  <c r="D368"/>
  <c r="C369"/>
  <c r="D369"/>
  <c r="C370"/>
  <c r="D370"/>
  <c r="C371"/>
  <c r="D371"/>
  <c r="C372"/>
  <c r="D372"/>
  <c r="C373"/>
  <c r="D373"/>
  <c r="C374"/>
  <c r="D374"/>
  <c r="C375"/>
  <c r="D375"/>
  <c r="C376"/>
  <c r="D376"/>
  <c r="C377"/>
  <c r="D377"/>
  <c r="C378"/>
  <c r="D378"/>
  <c r="C379"/>
  <c r="D379"/>
  <c r="C380"/>
  <c r="D380"/>
  <c r="C381"/>
  <c r="D381"/>
  <c r="C382"/>
  <c r="D382"/>
  <c r="C383"/>
  <c r="D383"/>
  <c r="C384"/>
  <c r="D384"/>
  <c r="C385"/>
  <c r="D385"/>
  <c r="C386"/>
  <c r="D386"/>
  <c r="C387"/>
  <c r="D387"/>
  <c r="C388"/>
  <c r="D388"/>
  <c r="C389"/>
  <c r="D389"/>
  <c r="C390"/>
  <c r="D390"/>
  <c r="C391"/>
  <c r="D391"/>
  <c r="C392"/>
  <c r="D392"/>
  <c r="C393"/>
  <c r="D393"/>
  <c r="C394"/>
  <c r="D394"/>
  <c r="C395"/>
  <c r="D395"/>
  <c r="C396"/>
  <c r="D396"/>
  <c r="C397"/>
  <c r="D397"/>
  <c r="C398"/>
  <c r="D398"/>
  <c r="C399"/>
  <c r="D399"/>
  <c r="C400"/>
  <c r="D400"/>
  <c r="C401"/>
  <c r="D401"/>
  <c r="C402"/>
  <c r="D402"/>
  <c r="C403"/>
  <c r="D403"/>
  <c r="C404"/>
  <c r="D404"/>
  <c r="C405"/>
  <c r="D405"/>
  <c r="C406"/>
  <c r="D406"/>
  <c r="C407"/>
  <c r="D407"/>
  <c r="C408"/>
  <c r="D408"/>
  <c r="C409"/>
  <c r="D409"/>
  <c r="C410"/>
  <c r="D410"/>
  <c r="C411"/>
  <c r="D411"/>
  <c r="C412"/>
  <c r="D412"/>
  <c r="C413"/>
  <c r="D413"/>
  <c r="C414"/>
  <c r="D414"/>
  <c r="C415"/>
  <c r="D415"/>
  <c r="C416"/>
  <c r="D416"/>
  <c r="C417"/>
  <c r="D417"/>
  <c r="C418"/>
  <c r="D418"/>
  <c r="C419"/>
  <c r="D419"/>
  <c r="C420"/>
  <c r="D420"/>
  <c r="C421"/>
  <c r="D421"/>
  <c r="C422"/>
  <c r="D422"/>
  <c r="C423"/>
  <c r="D423"/>
  <c r="C424"/>
  <c r="D424"/>
  <c r="C425"/>
  <c r="D425"/>
  <c r="C426"/>
  <c r="D426"/>
  <c r="C427"/>
  <c r="D427"/>
  <c r="C428"/>
  <c r="D428"/>
  <c r="C429"/>
  <c r="D429"/>
  <c r="C430"/>
  <c r="D430"/>
  <c r="C431"/>
  <c r="D431"/>
  <c r="C432"/>
  <c r="D432"/>
  <c r="C433"/>
  <c r="D433"/>
  <c r="C434"/>
  <c r="D434"/>
  <c r="C435"/>
  <c r="D435"/>
  <c r="C436"/>
  <c r="D436"/>
  <c r="C437"/>
  <c r="D437"/>
  <c r="C438"/>
  <c r="D438"/>
  <c r="C439"/>
  <c r="D439"/>
  <c r="C440"/>
  <c r="D440"/>
  <c r="C441"/>
  <c r="D441"/>
  <c r="C442"/>
  <c r="D442"/>
  <c r="C443"/>
  <c r="D443"/>
  <c r="C444"/>
  <c r="D444"/>
  <c r="C445"/>
  <c r="D445"/>
  <c r="C446"/>
  <c r="D446"/>
  <c r="C447"/>
  <c r="D447"/>
  <c r="C448"/>
  <c r="D448"/>
  <c r="C449"/>
  <c r="D449"/>
  <c r="C450"/>
  <c r="D450"/>
  <c r="C451"/>
  <c r="D451"/>
  <c r="C452"/>
  <c r="D452"/>
  <c r="C453"/>
  <c r="D453"/>
  <c r="C454"/>
  <c r="D454"/>
  <c r="C455"/>
  <c r="D455"/>
  <c r="C456"/>
  <c r="D456"/>
  <c r="C457"/>
  <c r="D457"/>
  <c r="C458"/>
  <c r="D458"/>
  <c r="C459"/>
  <c r="D459"/>
  <c r="C460"/>
  <c r="D460"/>
  <c r="C461"/>
  <c r="D461"/>
  <c r="C462"/>
  <c r="D462"/>
  <c r="C463"/>
  <c r="D463"/>
  <c r="C464"/>
  <c r="D464"/>
  <c r="C465"/>
  <c r="D465"/>
  <c r="C466"/>
  <c r="D466"/>
  <c r="C467"/>
  <c r="D467"/>
  <c r="C468"/>
  <c r="D468"/>
  <c r="C469"/>
  <c r="D469"/>
  <c r="C470"/>
  <c r="D470"/>
  <c r="C471"/>
  <c r="D471"/>
  <c r="C472"/>
  <c r="D472"/>
  <c r="C473"/>
  <c r="D473"/>
  <c r="C474"/>
  <c r="D474"/>
  <c r="C475"/>
  <c r="D475"/>
  <c r="C476"/>
  <c r="D476"/>
  <c r="C477"/>
  <c r="D477"/>
  <c r="C478"/>
  <c r="D478"/>
  <c r="C479"/>
  <c r="D479"/>
  <c r="C480"/>
  <c r="D480"/>
  <c r="C481"/>
  <c r="D481"/>
  <c r="C482"/>
  <c r="D482"/>
  <c r="C483"/>
  <c r="D483"/>
  <c r="C484"/>
  <c r="D484"/>
  <c r="C485"/>
  <c r="D485"/>
  <c r="C486"/>
  <c r="D486"/>
  <c r="C487"/>
  <c r="D487"/>
  <c r="C488"/>
  <c r="D488"/>
  <c r="C489"/>
  <c r="D489"/>
  <c r="C490"/>
  <c r="D490"/>
  <c r="C491"/>
  <c r="D491"/>
  <c r="C492"/>
  <c r="D492"/>
  <c r="C493"/>
  <c r="D493"/>
  <c r="C494"/>
  <c r="D494"/>
  <c r="C495"/>
  <c r="D495"/>
  <c r="C496"/>
  <c r="D496"/>
  <c r="C497"/>
  <c r="D497"/>
  <c r="C498"/>
  <c r="D498"/>
  <c r="C499"/>
  <c r="D499"/>
  <c r="C500"/>
  <c r="D500"/>
  <c r="C501"/>
  <c r="D501"/>
  <c r="C502"/>
  <c r="D502"/>
  <c r="C503"/>
  <c r="D503"/>
  <c r="C504"/>
  <c r="D504"/>
  <c r="C505"/>
  <c r="D505"/>
  <c r="C506"/>
  <c r="D506"/>
  <c r="C507"/>
  <c r="D507"/>
  <c r="C508"/>
  <c r="D508"/>
  <c r="C509"/>
  <c r="D509"/>
  <c r="C510"/>
  <c r="D510"/>
  <c r="C511"/>
  <c r="D511"/>
  <c r="C512"/>
  <c r="D512"/>
  <c r="C513"/>
  <c r="D513"/>
  <c r="C514"/>
  <c r="D514"/>
  <c r="C515"/>
  <c r="D515"/>
  <c r="C516"/>
  <c r="D516"/>
  <c r="C517"/>
  <c r="D517"/>
  <c r="C518"/>
  <c r="D518"/>
  <c r="C519"/>
  <c r="D519"/>
  <c r="C520"/>
  <c r="D520"/>
  <c r="C521"/>
  <c r="D521"/>
  <c r="C522"/>
  <c r="D522"/>
  <c r="C523"/>
  <c r="D523"/>
  <c r="C524"/>
  <c r="D524"/>
  <c r="C525"/>
  <c r="D525"/>
  <c r="C526"/>
  <c r="D526"/>
  <c r="C527"/>
  <c r="D527"/>
  <c r="C528"/>
  <c r="D528"/>
  <c r="C529"/>
  <c r="D529"/>
  <c r="C530"/>
  <c r="D530"/>
  <c r="C531"/>
  <c r="D531"/>
  <c r="C532"/>
  <c r="D532"/>
  <c r="C533"/>
  <c r="D533"/>
  <c r="C534"/>
  <c r="D534"/>
  <c r="C535"/>
  <c r="D535"/>
  <c r="C536"/>
  <c r="D536"/>
  <c r="C537"/>
  <c r="D537"/>
  <c r="C538"/>
  <c r="D538"/>
  <c r="C539"/>
  <c r="D539"/>
  <c r="C540"/>
  <c r="D540"/>
  <c r="C541"/>
  <c r="D541"/>
  <c r="C542"/>
  <c r="D542"/>
  <c r="C543"/>
  <c r="D543"/>
  <c r="C544"/>
  <c r="D544"/>
  <c r="C545"/>
  <c r="D545"/>
  <c r="C546"/>
  <c r="D546"/>
  <c r="C547"/>
  <c r="D547"/>
  <c r="C548"/>
  <c r="D548"/>
  <c r="C549"/>
  <c r="D549"/>
  <c r="C550"/>
  <c r="D550"/>
  <c r="C551"/>
  <c r="D551"/>
  <c r="C552"/>
  <c r="D552"/>
  <c r="C553"/>
  <c r="D553"/>
  <c r="C554"/>
  <c r="D554"/>
  <c r="C555"/>
  <c r="D555"/>
  <c r="C556"/>
  <c r="D556"/>
  <c r="C557"/>
  <c r="D557"/>
  <c r="C558"/>
  <c r="D558"/>
  <c r="C559"/>
  <c r="D559"/>
  <c r="C560"/>
  <c r="D560"/>
  <c r="C561"/>
  <c r="D561"/>
  <c r="C562"/>
  <c r="D562"/>
  <c r="C563"/>
  <c r="D563"/>
  <c r="C564"/>
  <c r="D564"/>
  <c r="C565"/>
  <c r="D565"/>
  <c r="C566"/>
  <c r="D566"/>
  <c r="C567"/>
  <c r="D567"/>
  <c r="C568"/>
  <c r="D568"/>
  <c r="C569"/>
  <c r="D569"/>
  <c r="C570"/>
  <c r="D570"/>
  <c r="C571"/>
  <c r="D571"/>
  <c r="C572"/>
  <c r="D572"/>
  <c r="C573"/>
  <c r="D573"/>
  <c r="C574"/>
  <c r="D574"/>
  <c r="C575"/>
  <c r="D575"/>
  <c r="C576"/>
  <c r="D576"/>
  <c r="C577"/>
  <c r="D577"/>
  <c r="C578"/>
  <c r="D578"/>
  <c r="C579"/>
  <c r="D579"/>
  <c r="C580"/>
  <c r="D580"/>
  <c r="C581"/>
  <c r="D581"/>
  <c r="C582"/>
  <c r="D582"/>
  <c r="C583"/>
  <c r="D583"/>
  <c r="C584"/>
  <c r="D584"/>
  <c r="C585"/>
  <c r="D585"/>
  <c r="C586"/>
  <c r="D586"/>
  <c r="C587"/>
  <c r="D587"/>
  <c r="C588"/>
  <c r="D588"/>
  <c r="C589"/>
  <c r="D589"/>
  <c r="C590"/>
  <c r="D590"/>
  <c r="C591"/>
  <c r="D591"/>
  <c r="C592"/>
  <c r="D592"/>
  <c r="C593"/>
  <c r="D593"/>
  <c r="C594"/>
  <c r="D594"/>
  <c r="C595"/>
  <c r="D595"/>
  <c r="C596"/>
  <c r="D596"/>
  <c r="C597"/>
  <c r="D597"/>
  <c r="C598"/>
  <c r="D598"/>
  <c r="C599"/>
  <c r="D599"/>
  <c r="C600"/>
  <c r="D600"/>
  <c r="C601"/>
  <c r="D601"/>
  <c r="C602"/>
  <c r="D602"/>
  <c r="C603"/>
  <c r="D603"/>
  <c r="C604"/>
  <c r="D604"/>
  <c r="C605"/>
  <c r="D605"/>
  <c r="C606"/>
  <c r="D606"/>
  <c r="C607"/>
  <c r="D607"/>
  <c r="C608"/>
  <c r="D608"/>
  <c r="C609"/>
  <c r="D609"/>
  <c r="C610"/>
  <c r="D610"/>
  <c r="C611"/>
  <c r="D611"/>
  <c r="C612"/>
  <c r="D612"/>
  <c r="C613"/>
  <c r="D613"/>
  <c r="C614"/>
  <c r="D614"/>
  <c r="C615"/>
  <c r="D615"/>
  <c r="C616"/>
  <c r="D616"/>
  <c r="C617"/>
  <c r="D617"/>
  <c r="C618"/>
  <c r="D618"/>
  <c r="C619"/>
  <c r="D619"/>
  <c r="C620"/>
  <c r="D620"/>
  <c r="C621"/>
  <c r="D621"/>
  <c r="C622"/>
  <c r="D622"/>
  <c r="C623"/>
  <c r="D623"/>
  <c r="C624"/>
  <c r="D624"/>
  <c r="C625"/>
  <c r="D625"/>
  <c r="C626"/>
  <c r="D626"/>
  <c r="C627"/>
  <c r="D627"/>
  <c r="C628"/>
  <c r="D628"/>
  <c r="C629"/>
  <c r="D629"/>
  <c r="C630"/>
  <c r="D630"/>
  <c r="C631"/>
  <c r="D631"/>
  <c r="C632"/>
  <c r="D632"/>
  <c r="C633"/>
  <c r="D633"/>
  <c r="C634"/>
  <c r="D634"/>
  <c r="C635"/>
  <c r="D635"/>
  <c r="C636"/>
  <c r="D636"/>
  <c r="C637"/>
  <c r="D637"/>
  <c r="C638"/>
  <c r="D638"/>
  <c r="C639"/>
  <c r="D639"/>
  <c r="C640"/>
  <c r="D640"/>
  <c r="C641"/>
  <c r="D641"/>
  <c r="C642"/>
  <c r="D642"/>
  <c r="C643"/>
  <c r="D643"/>
  <c r="C644"/>
  <c r="D644"/>
  <c r="C645"/>
  <c r="D645"/>
  <c r="C646"/>
  <c r="D646"/>
  <c r="C647"/>
  <c r="D647"/>
  <c r="C648"/>
  <c r="D648"/>
  <c r="C649"/>
  <c r="D649"/>
  <c r="C650"/>
  <c r="D650"/>
  <c r="C651"/>
  <c r="D651"/>
  <c r="C652"/>
  <c r="D652"/>
  <c r="C653"/>
  <c r="D653"/>
  <c r="C654"/>
  <c r="D654"/>
  <c r="C655"/>
  <c r="D655"/>
  <c r="C656"/>
  <c r="D656"/>
  <c r="C657"/>
  <c r="D657"/>
  <c r="C658"/>
  <c r="D658"/>
  <c r="C659"/>
  <c r="D659"/>
  <c r="C660"/>
  <c r="D660"/>
  <c r="C661"/>
  <c r="D661"/>
  <c r="C662"/>
  <c r="D662"/>
  <c r="C663"/>
  <c r="D663"/>
  <c r="C664"/>
  <c r="D664"/>
  <c r="C665"/>
  <c r="D665"/>
  <c r="C666"/>
  <c r="D666"/>
  <c r="C667"/>
  <c r="D667"/>
  <c r="C668"/>
  <c r="D668"/>
  <c r="C669"/>
  <c r="D669"/>
  <c r="C670"/>
  <c r="D670"/>
  <c r="C671"/>
  <c r="D671"/>
  <c r="C672"/>
  <c r="D672"/>
  <c r="C673"/>
  <c r="D673"/>
  <c r="C674"/>
  <c r="D674"/>
  <c r="C675"/>
  <c r="D675"/>
  <c r="C676"/>
  <c r="D676"/>
  <c r="C677"/>
  <c r="D677"/>
  <c r="C678"/>
  <c r="D678"/>
  <c r="C679"/>
  <c r="D679"/>
  <c r="C680"/>
  <c r="D680"/>
  <c r="C681"/>
  <c r="D681"/>
  <c r="C682"/>
  <c r="D682"/>
  <c r="C683"/>
  <c r="D683"/>
  <c r="C684"/>
  <c r="D684"/>
  <c r="C685"/>
  <c r="D685"/>
  <c r="C686"/>
  <c r="D686"/>
  <c r="C687"/>
  <c r="D687"/>
  <c r="C688"/>
  <c r="D688"/>
  <c r="C689"/>
  <c r="D689"/>
  <c r="C690"/>
  <c r="D690"/>
  <c r="C691"/>
  <c r="D691"/>
  <c r="C692"/>
  <c r="D692"/>
  <c r="C693"/>
  <c r="D693"/>
  <c r="C694"/>
  <c r="D694"/>
  <c r="C695"/>
  <c r="D695"/>
  <c r="C696"/>
  <c r="D696"/>
  <c r="C697"/>
  <c r="D697"/>
  <c r="C698"/>
  <c r="D698"/>
  <c r="C699"/>
  <c r="D699"/>
  <c r="C700"/>
  <c r="D700"/>
  <c r="C701"/>
  <c r="D701"/>
  <c r="C702"/>
  <c r="D702"/>
  <c r="C703"/>
  <c r="D703"/>
  <c r="C704"/>
  <c r="D704"/>
  <c r="C705"/>
  <c r="D705"/>
  <c r="C706"/>
  <c r="D706"/>
  <c r="C707"/>
  <c r="D707"/>
  <c r="C708"/>
  <c r="D708"/>
  <c r="C709"/>
  <c r="D709"/>
  <c r="C710"/>
  <c r="D710"/>
  <c r="C711"/>
  <c r="D711"/>
  <c r="C712"/>
  <c r="D712"/>
  <c r="C713"/>
  <c r="D713"/>
  <c r="C714"/>
  <c r="D714"/>
  <c r="C715"/>
  <c r="D715"/>
  <c r="C716"/>
  <c r="D716"/>
  <c r="C717"/>
  <c r="D717"/>
  <c r="C718"/>
  <c r="D718"/>
  <c r="C719"/>
  <c r="D719"/>
  <c r="C720"/>
  <c r="D720"/>
  <c r="C721"/>
  <c r="D721"/>
  <c r="C722"/>
  <c r="D722"/>
  <c r="C723"/>
  <c r="D723"/>
  <c r="C724"/>
  <c r="D724"/>
  <c r="C725"/>
  <c r="D725"/>
  <c r="C726"/>
  <c r="D726"/>
  <c r="C727"/>
  <c r="D727"/>
  <c r="C728"/>
  <c r="D728"/>
  <c r="C729"/>
  <c r="D729"/>
  <c r="C730"/>
  <c r="D730"/>
  <c r="C731"/>
  <c r="D731"/>
  <c r="C732"/>
  <c r="D732"/>
  <c r="C733"/>
  <c r="D733"/>
  <c r="C734"/>
  <c r="D734"/>
  <c r="C735"/>
  <c r="D735"/>
  <c r="C736"/>
  <c r="D736"/>
  <c r="C737"/>
  <c r="D737"/>
  <c r="C738"/>
  <c r="D738"/>
  <c r="C739"/>
  <c r="D739"/>
  <c r="C740"/>
  <c r="D740"/>
  <c r="C741"/>
  <c r="D741"/>
  <c r="C742"/>
  <c r="D742"/>
  <c r="C743"/>
  <c r="D743"/>
  <c r="C744"/>
  <c r="D744"/>
  <c r="C745"/>
  <c r="D745"/>
  <c r="C746"/>
  <c r="D746"/>
  <c r="C747"/>
  <c r="D747"/>
  <c r="C748"/>
  <c r="D748"/>
  <c r="C749"/>
  <c r="D749"/>
  <c r="C750"/>
  <c r="D750"/>
  <c r="C751"/>
  <c r="D751"/>
  <c r="C752"/>
  <c r="D752"/>
  <c r="C753"/>
  <c r="D753"/>
  <c r="C754"/>
  <c r="D754"/>
  <c r="C755"/>
  <c r="D755"/>
  <c r="C756"/>
  <c r="D756"/>
  <c r="C757"/>
  <c r="D757"/>
  <c r="C758"/>
  <c r="D758"/>
  <c r="C759"/>
  <c r="D759"/>
  <c r="C760"/>
  <c r="D760"/>
  <c r="C761"/>
  <c r="D761"/>
  <c r="C762"/>
  <c r="D762"/>
  <c r="C763"/>
  <c r="D763"/>
  <c r="C764"/>
  <c r="D764"/>
  <c r="C765"/>
  <c r="D765"/>
  <c r="C766"/>
  <c r="D766"/>
  <c r="C767"/>
  <c r="D767"/>
  <c r="C768"/>
  <c r="D768"/>
  <c r="C769"/>
  <c r="D769"/>
  <c r="C770"/>
  <c r="D770"/>
  <c r="C771"/>
  <c r="D771"/>
  <c r="C772"/>
  <c r="D772"/>
  <c r="C773"/>
  <c r="D773"/>
  <c r="C774"/>
  <c r="D774"/>
  <c r="C775"/>
  <c r="D775"/>
  <c r="C776"/>
  <c r="D776"/>
  <c r="C777"/>
  <c r="D777"/>
  <c r="C778"/>
  <c r="D778"/>
  <c r="C779"/>
  <c r="D779"/>
  <c r="C780"/>
  <c r="D780"/>
  <c r="C781"/>
  <c r="D781"/>
  <c r="C782"/>
  <c r="D782"/>
  <c r="C783"/>
  <c r="D783"/>
  <c r="C784"/>
  <c r="D784"/>
  <c r="C785"/>
  <c r="D785"/>
  <c r="C786"/>
  <c r="D786"/>
  <c r="C787"/>
  <c r="D787"/>
  <c r="C788"/>
  <c r="D788"/>
  <c r="C789"/>
  <c r="D789"/>
  <c r="C790"/>
  <c r="D790"/>
  <c r="C791"/>
  <c r="D791"/>
  <c r="C792"/>
  <c r="D792"/>
  <c r="C793"/>
  <c r="D793"/>
  <c r="C794"/>
  <c r="D794"/>
  <c r="C795"/>
  <c r="D795"/>
  <c r="C796"/>
  <c r="D796"/>
  <c r="C797"/>
  <c r="D797"/>
  <c r="C798"/>
  <c r="D798"/>
  <c r="C799"/>
  <c r="D799"/>
  <c r="C800"/>
  <c r="D800"/>
  <c r="C801"/>
  <c r="D801"/>
  <c r="C802"/>
  <c r="D802"/>
  <c r="C803"/>
  <c r="D803"/>
  <c r="C804"/>
  <c r="D804"/>
  <c r="C805"/>
  <c r="D805"/>
  <c r="C806"/>
  <c r="D806"/>
  <c r="C807"/>
  <c r="D807"/>
  <c r="C808"/>
  <c r="D808"/>
  <c r="C809"/>
  <c r="D809"/>
  <c r="C810"/>
  <c r="D810"/>
  <c r="C811"/>
  <c r="D811"/>
  <c r="C812"/>
  <c r="D812"/>
  <c r="C813"/>
  <c r="D813"/>
  <c r="C814"/>
  <c r="D814"/>
  <c r="C815"/>
  <c r="D815"/>
  <c r="C816"/>
  <c r="D816"/>
  <c r="C817"/>
  <c r="D817"/>
  <c r="C818"/>
  <c r="D818"/>
  <c r="C819"/>
  <c r="D819"/>
  <c r="C820"/>
  <c r="D820"/>
  <c r="C821"/>
  <c r="D821"/>
  <c r="C822"/>
  <c r="D822"/>
  <c r="C823"/>
  <c r="D823"/>
  <c r="C824"/>
  <c r="D824"/>
  <c r="C825"/>
  <c r="D825"/>
  <c r="C826"/>
  <c r="D826"/>
  <c r="C827"/>
  <c r="D827"/>
  <c r="C828"/>
  <c r="D828"/>
  <c r="C829"/>
  <c r="D829"/>
  <c r="C830"/>
  <c r="D830"/>
  <c r="C831"/>
  <c r="D831"/>
  <c r="C832"/>
  <c r="D832"/>
  <c r="C833"/>
  <c r="D833"/>
  <c r="C834"/>
  <c r="D834"/>
  <c r="C835"/>
  <c r="D835"/>
  <c r="C836"/>
  <c r="D836"/>
  <c r="C837"/>
  <c r="D837"/>
  <c r="C838"/>
  <c r="D838"/>
  <c r="C839"/>
  <c r="D839"/>
  <c r="C840"/>
  <c r="D840"/>
  <c r="C841"/>
  <c r="D841"/>
  <c r="C842"/>
  <c r="D842"/>
  <c r="C843"/>
  <c r="D843"/>
  <c r="C844"/>
  <c r="D844"/>
  <c r="C845"/>
  <c r="D845"/>
  <c r="C846"/>
  <c r="D846"/>
  <c r="C847"/>
  <c r="D847"/>
  <c r="C848"/>
  <c r="D848"/>
  <c r="C849"/>
  <c r="D849"/>
  <c r="C850"/>
  <c r="D850"/>
  <c r="C851"/>
  <c r="D851"/>
  <c r="C852"/>
  <c r="D852"/>
  <c r="C853"/>
  <c r="D853"/>
  <c r="C854"/>
  <c r="D854"/>
  <c r="C855"/>
  <c r="D855"/>
  <c r="C856"/>
  <c r="D856"/>
  <c r="C857"/>
  <c r="D857"/>
  <c r="C858"/>
  <c r="D858"/>
  <c r="C859"/>
  <c r="D859"/>
  <c r="C860"/>
  <c r="D860"/>
  <c r="C861"/>
  <c r="D861"/>
  <c r="C862"/>
  <c r="D862"/>
  <c r="C863"/>
  <c r="D863"/>
  <c r="C864"/>
  <c r="D864"/>
  <c r="C865"/>
  <c r="D865"/>
  <c r="C866"/>
  <c r="D866"/>
  <c r="C867"/>
  <c r="D867"/>
  <c r="C868"/>
  <c r="D868"/>
  <c r="C869"/>
  <c r="D869"/>
  <c r="C870"/>
  <c r="D870"/>
  <c r="C871"/>
  <c r="D871"/>
  <c r="C872"/>
  <c r="D872"/>
  <c r="C873"/>
  <c r="D873"/>
  <c r="C874"/>
  <c r="D874"/>
  <c r="C875"/>
  <c r="D875"/>
  <c r="C876"/>
  <c r="D876"/>
  <c r="C877"/>
  <c r="D877"/>
  <c r="C878"/>
  <c r="D878"/>
  <c r="C879"/>
  <c r="D879"/>
  <c r="C880"/>
  <c r="D880"/>
  <c r="C881"/>
  <c r="D881"/>
  <c r="C882"/>
  <c r="D882"/>
  <c r="C883"/>
  <c r="D883"/>
  <c r="C884"/>
  <c r="D884"/>
  <c r="C885"/>
  <c r="D885"/>
  <c r="C886"/>
  <c r="D886"/>
  <c r="C887"/>
  <c r="D887"/>
  <c r="C888"/>
  <c r="D888"/>
  <c r="C889"/>
  <c r="D889"/>
  <c r="C890"/>
  <c r="D890"/>
  <c r="C891"/>
  <c r="D891"/>
  <c r="C892"/>
  <c r="D892"/>
  <c r="C893"/>
  <c r="D893"/>
  <c r="C894"/>
  <c r="D894"/>
  <c r="C895"/>
  <c r="D895"/>
  <c r="C896"/>
  <c r="D896"/>
  <c r="C897"/>
  <c r="D897"/>
  <c r="C898"/>
  <c r="D898"/>
  <c r="C899"/>
  <c r="D899"/>
  <c r="C900"/>
  <c r="D900"/>
  <c r="C901"/>
  <c r="D901"/>
  <c r="C902"/>
  <c r="D902"/>
  <c r="C903"/>
  <c r="D903"/>
  <c r="C904"/>
  <c r="D904"/>
  <c r="C905"/>
  <c r="D905"/>
  <c r="C906"/>
  <c r="D906"/>
  <c r="C907"/>
  <c r="D907"/>
  <c r="C908"/>
  <c r="D908"/>
  <c r="C909"/>
  <c r="D909"/>
  <c r="C910"/>
  <c r="D910"/>
  <c r="C911"/>
  <c r="D911"/>
  <c r="C912"/>
  <c r="D912"/>
  <c r="C913"/>
  <c r="D913"/>
  <c r="C914"/>
  <c r="D914"/>
  <c r="C915"/>
  <c r="D915"/>
  <c r="C916"/>
  <c r="D916"/>
  <c r="C917"/>
  <c r="D917"/>
  <c r="C918"/>
  <c r="D918"/>
  <c r="C919"/>
  <c r="D919"/>
  <c r="C920"/>
  <c r="D920"/>
  <c r="C921"/>
  <c r="D921"/>
  <c r="C922"/>
  <c r="D922"/>
  <c r="C923"/>
  <c r="D923"/>
  <c r="C924"/>
  <c r="D924"/>
  <c r="C925"/>
  <c r="D925"/>
  <c r="C926"/>
  <c r="D926"/>
  <c r="C927"/>
  <c r="D927"/>
  <c r="C928"/>
  <c r="D928"/>
  <c r="C929"/>
  <c r="D929"/>
  <c r="C930"/>
  <c r="D930"/>
  <c r="C931"/>
  <c r="D931"/>
  <c r="C932"/>
  <c r="D932"/>
  <c r="C933"/>
  <c r="D933"/>
  <c r="C934"/>
  <c r="D934"/>
  <c r="C935"/>
  <c r="D935"/>
  <c r="C936"/>
  <c r="D936"/>
  <c r="C937"/>
  <c r="D937"/>
  <c r="C938"/>
  <c r="D938"/>
  <c r="C939"/>
  <c r="D939"/>
  <c r="C940"/>
  <c r="D940"/>
  <c r="C941"/>
  <c r="D941"/>
  <c r="C942"/>
  <c r="D942"/>
  <c r="C943"/>
  <c r="D943"/>
  <c r="C944"/>
  <c r="D944"/>
  <c r="C945"/>
  <c r="D945"/>
  <c r="C946"/>
  <c r="D946"/>
  <c r="C947"/>
  <c r="D947"/>
  <c r="C948"/>
  <c r="D948"/>
  <c r="C949"/>
  <c r="D949"/>
  <c r="C950"/>
  <c r="D950"/>
  <c r="C951"/>
  <c r="D951"/>
  <c r="C952"/>
  <c r="D952"/>
  <c r="C953"/>
  <c r="D953"/>
  <c r="C954"/>
  <c r="D954"/>
  <c r="C955"/>
  <c r="D955"/>
  <c r="C956"/>
  <c r="D956"/>
  <c r="C957"/>
  <c r="D957"/>
  <c r="C958"/>
  <c r="D958"/>
  <c r="C959"/>
  <c r="D959"/>
  <c r="C960"/>
  <c r="D960"/>
  <c r="C961"/>
  <c r="D961"/>
  <c r="C962"/>
  <c r="D962"/>
  <c r="C963"/>
  <c r="D963"/>
  <c r="C964"/>
  <c r="D964"/>
  <c r="C965"/>
  <c r="D965"/>
  <c r="C966"/>
  <c r="D966"/>
  <c r="C967"/>
  <c r="D967"/>
  <c r="C968"/>
  <c r="D968"/>
  <c r="C969"/>
  <c r="D969"/>
  <c r="C970"/>
  <c r="D970"/>
  <c r="C971"/>
  <c r="D971"/>
  <c r="C972"/>
  <c r="D972"/>
  <c r="C973"/>
  <c r="D973"/>
  <c r="C974"/>
  <c r="D974"/>
  <c r="C975"/>
  <c r="D975"/>
  <c r="C976"/>
  <c r="D976"/>
  <c r="C977"/>
  <c r="D977"/>
  <c r="C978"/>
  <c r="D978"/>
  <c r="C979"/>
  <c r="D979"/>
  <c r="C980"/>
  <c r="D980"/>
  <c r="C981"/>
  <c r="D981"/>
  <c r="C982"/>
  <c r="D982"/>
  <c r="C983"/>
  <c r="D983"/>
  <c r="C984"/>
  <c r="D984"/>
  <c r="C985"/>
  <c r="D985"/>
  <c r="C986"/>
  <c r="D986"/>
  <c r="C987"/>
  <c r="D987"/>
  <c r="C988"/>
  <c r="D988"/>
  <c r="C989"/>
  <c r="D989"/>
  <c r="C990"/>
  <c r="D990"/>
  <c r="C991"/>
  <c r="D991"/>
  <c r="C992"/>
  <c r="D992"/>
  <c r="C993"/>
  <c r="D993"/>
  <c r="C994"/>
  <c r="D994"/>
  <c r="C995"/>
  <c r="D995"/>
  <c r="C996"/>
  <c r="D996"/>
  <c r="C997"/>
  <c r="D997"/>
  <c r="C998"/>
  <c r="D998"/>
  <c r="C999"/>
  <c r="D999"/>
  <c r="C1000"/>
  <c r="D1000"/>
  <c r="C1001"/>
  <c r="D1001"/>
  <c r="C1002"/>
  <c r="D1002"/>
  <c r="C1003"/>
  <c r="D1003"/>
  <c r="C1004"/>
  <c r="D1004"/>
  <c r="C1005"/>
  <c r="D1005"/>
  <c r="C1006"/>
  <c r="D1006"/>
  <c r="C1007"/>
  <c r="D1007"/>
  <c r="C1008"/>
  <c r="D1008"/>
  <c r="C1009"/>
  <c r="D1009"/>
  <c r="C1010"/>
  <c r="D1010"/>
  <c r="C1011"/>
  <c r="D1011"/>
  <c r="C1012"/>
  <c r="D1012"/>
  <c r="C1013"/>
  <c r="D1013"/>
  <c r="C1014"/>
  <c r="D1014"/>
  <c r="C1015"/>
  <c r="D1015"/>
  <c r="C1016"/>
  <c r="D1016"/>
  <c r="C1017"/>
  <c r="D1017"/>
  <c r="C1018"/>
  <c r="D1018"/>
  <c r="C1019"/>
  <c r="D1019"/>
  <c r="C1020"/>
  <c r="D1020"/>
  <c r="C1021"/>
  <c r="D1021"/>
  <c r="C1022"/>
  <c r="D1022"/>
  <c r="C1023"/>
  <c r="D1023"/>
  <c r="C1024"/>
  <c r="D1024"/>
  <c r="C1025"/>
  <c r="D1025"/>
  <c r="C1026"/>
  <c r="D1026"/>
  <c r="C1027"/>
  <c r="D1027"/>
  <c r="C1028"/>
  <c r="D1028"/>
  <c r="C1029"/>
  <c r="D1029"/>
  <c r="C1030"/>
  <c r="D1030"/>
  <c r="C1031"/>
  <c r="D1031"/>
  <c r="C1032"/>
  <c r="D1032"/>
  <c r="C1033"/>
  <c r="D1033"/>
  <c r="C1034"/>
  <c r="D1034"/>
  <c r="C1035"/>
  <c r="D1035"/>
  <c r="C1036"/>
  <c r="D1036"/>
  <c r="C1037"/>
  <c r="D1037"/>
  <c r="C1038"/>
  <c r="D1038"/>
  <c r="C1039"/>
  <c r="D1039"/>
  <c r="C1040"/>
  <c r="D1040"/>
  <c r="C1041"/>
  <c r="D1041"/>
  <c r="C1042"/>
  <c r="D1042"/>
  <c r="C1043"/>
  <c r="D1043"/>
  <c r="C1044"/>
  <c r="D1044"/>
  <c r="C1045"/>
  <c r="D1045"/>
  <c r="C1046"/>
  <c r="D1046"/>
  <c r="C1047"/>
  <c r="D1047"/>
  <c r="C1048"/>
  <c r="D1048"/>
  <c r="C1049"/>
  <c r="D1049"/>
  <c r="C1050"/>
  <c r="D1050"/>
  <c r="C1051"/>
  <c r="D1051"/>
  <c r="C1052"/>
  <c r="D1052"/>
  <c r="C1053"/>
  <c r="D1053"/>
  <c r="C1054"/>
  <c r="D1054"/>
  <c r="C1055"/>
  <c r="D1055"/>
  <c r="C1056"/>
  <c r="D1056"/>
  <c r="C1057"/>
  <c r="D1057"/>
  <c r="C1058"/>
  <c r="D1058"/>
  <c r="C1059"/>
  <c r="D1059"/>
  <c r="C1060"/>
  <c r="D1060"/>
  <c r="C1061"/>
  <c r="D1061"/>
  <c r="C1062"/>
  <c r="D1062"/>
  <c r="C1063"/>
  <c r="D1063"/>
  <c r="C1064"/>
  <c r="D1064"/>
  <c r="C1065"/>
  <c r="D1065"/>
  <c r="C1066"/>
  <c r="D1066"/>
  <c r="C1067"/>
  <c r="D1067"/>
  <c r="C1068"/>
  <c r="D1068"/>
  <c r="C1069"/>
  <c r="D1069"/>
  <c r="C1070"/>
  <c r="D1070"/>
  <c r="C1071"/>
  <c r="D1071"/>
  <c r="C1072"/>
  <c r="D1072"/>
  <c r="C1073"/>
  <c r="D1073"/>
  <c r="C1074"/>
  <c r="D1074"/>
  <c r="C1075"/>
  <c r="D1075"/>
  <c r="C1076"/>
  <c r="D1076"/>
  <c r="C1077"/>
  <c r="D1077"/>
  <c r="C1078"/>
  <c r="D1078"/>
  <c r="C1079"/>
  <c r="D1079"/>
  <c r="C1080"/>
  <c r="D1080"/>
  <c r="C1081"/>
  <c r="D1081"/>
  <c r="C1082"/>
  <c r="D1082"/>
  <c r="C1083"/>
  <c r="D1083"/>
  <c r="C1084"/>
  <c r="D1084"/>
  <c r="C1085"/>
  <c r="D1085"/>
  <c r="C1086"/>
  <c r="D1086"/>
  <c r="C1087"/>
  <c r="D1087"/>
  <c r="C1088"/>
  <c r="D1088"/>
  <c r="C1089"/>
  <c r="D1089"/>
  <c r="C1090"/>
  <c r="D1090"/>
  <c r="C1091"/>
  <c r="D1091"/>
  <c r="C1092"/>
  <c r="D1092"/>
  <c r="C1093"/>
  <c r="D1093"/>
  <c r="C1094"/>
  <c r="D1094"/>
  <c r="C1095"/>
  <c r="D1095"/>
  <c r="C1096"/>
  <c r="D1096"/>
  <c r="C1097"/>
  <c r="D1097"/>
  <c r="C1098"/>
  <c r="D1098"/>
  <c r="C1099"/>
  <c r="D1099"/>
  <c r="C1100"/>
  <c r="D1100"/>
  <c r="C1101"/>
  <c r="D1101"/>
  <c r="C1102"/>
  <c r="D1102"/>
  <c r="C1103"/>
  <c r="D1103"/>
  <c r="C1104"/>
  <c r="D1104"/>
  <c r="C1105"/>
  <c r="D1105"/>
  <c r="C1106"/>
  <c r="D1106"/>
  <c r="C1107"/>
  <c r="D1107"/>
  <c r="C1108"/>
  <c r="D1108"/>
  <c r="C1109"/>
  <c r="D1109"/>
  <c r="C1110"/>
  <c r="D1110"/>
  <c r="C1111"/>
  <c r="D1111"/>
  <c r="C1112"/>
  <c r="D1112"/>
  <c r="C1113"/>
  <c r="D1113"/>
  <c r="C1114"/>
  <c r="D1114"/>
  <c r="C1115"/>
  <c r="D1115"/>
  <c r="C1116"/>
  <c r="D1116"/>
  <c r="C1117"/>
  <c r="D1117"/>
  <c r="C1118"/>
  <c r="D1118"/>
  <c r="C1119"/>
  <c r="D1119"/>
  <c r="C1120"/>
  <c r="D1120"/>
  <c r="C1121"/>
  <c r="D1121"/>
  <c r="C1122"/>
  <c r="D1122"/>
  <c r="C1123"/>
  <c r="D1123"/>
  <c r="C1124"/>
  <c r="D1124"/>
  <c r="C1125"/>
  <c r="D1125"/>
  <c r="C1126"/>
  <c r="D1126"/>
  <c r="C1127"/>
  <c r="D1127"/>
  <c r="C1128"/>
  <c r="D1128"/>
  <c r="C1129"/>
  <c r="D1129"/>
  <c r="C1130"/>
  <c r="D1130"/>
  <c r="C1131"/>
  <c r="D1131"/>
  <c r="C1132"/>
  <c r="D1132"/>
  <c r="C1133"/>
  <c r="D1133"/>
  <c r="C1134"/>
  <c r="D1134"/>
  <c r="C1135"/>
  <c r="D1135"/>
  <c r="C1136"/>
  <c r="D1136"/>
  <c r="C1137"/>
  <c r="D1137"/>
  <c r="C1138"/>
  <c r="D1138"/>
  <c r="C1139"/>
  <c r="D1139"/>
  <c r="C1140"/>
  <c r="D1140"/>
  <c r="C1141"/>
  <c r="D1141"/>
  <c r="C1142"/>
  <c r="D1142"/>
  <c r="C1143"/>
  <c r="D1143"/>
  <c r="C1144"/>
  <c r="D1144"/>
  <c r="C1145"/>
  <c r="D1145"/>
  <c r="C1146"/>
  <c r="D1146"/>
  <c r="C1147"/>
  <c r="D1147"/>
  <c r="C1148"/>
  <c r="D1148"/>
  <c r="C1149"/>
  <c r="D1149"/>
  <c r="C1150"/>
  <c r="D1150"/>
  <c r="C1151"/>
  <c r="D1151"/>
  <c r="C1152"/>
  <c r="D1152"/>
  <c r="C1153"/>
  <c r="D1153"/>
  <c r="C1154"/>
  <c r="D1154"/>
  <c r="C1155"/>
  <c r="D1155"/>
  <c r="C1156"/>
  <c r="D1156"/>
  <c r="C1157"/>
  <c r="D1157"/>
  <c r="C1158"/>
  <c r="D1158"/>
  <c r="C1159"/>
  <c r="D1159"/>
  <c r="C1160"/>
  <c r="D1160"/>
  <c r="C1161"/>
  <c r="D1161"/>
  <c r="C1162"/>
  <c r="D1162"/>
  <c r="C1163"/>
  <c r="D1163"/>
  <c r="C1164"/>
  <c r="D1164"/>
  <c r="C1165"/>
  <c r="D1165"/>
  <c r="C1166"/>
  <c r="D1166"/>
  <c r="C1167"/>
  <c r="D1167"/>
  <c r="C1168"/>
  <c r="D1168"/>
  <c r="C1169"/>
  <c r="D1169"/>
  <c r="C1170"/>
  <c r="D1170"/>
  <c r="C1171"/>
  <c r="D1171"/>
  <c r="C1172"/>
  <c r="D1172"/>
  <c r="C1173"/>
  <c r="D1173"/>
  <c r="C1174"/>
  <c r="D1174"/>
  <c r="C1175"/>
  <c r="D1175"/>
  <c r="C1176"/>
  <c r="D1176"/>
  <c r="C1177"/>
  <c r="D1177"/>
  <c r="C1178"/>
  <c r="D1178"/>
  <c r="C1179"/>
  <c r="D1179"/>
  <c r="C1180"/>
  <c r="D1180"/>
  <c r="C1181"/>
  <c r="D1181"/>
  <c r="C1182"/>
  <c r="D1182"/>
  <c r="C1183"/>
  <c r="D1183"/>
  <c r="C1184"/>
  <c r="D1184"/>
  <c r="C1185"/>
  <c r="D1185"/>
  <c r="C1186"/>
  <c r="D1186"/>
  <c r="C1187"/>
  <c r="D1187"/>
  <c r="C1188"/>
  <c r="D1188"/>
  <c r="C1189"/>
  <c r="D1189"/>
  <c r="C1190"/>
  <c r="D1190"/>
  <c r="C1191"/>
  <c r="D1191"/>
  <c r="C1192"/>
  <c r="D1192"/>
  <c r="C1193"/>
  <c r="D1193"/>
  <c r="C1194"/>
  <c r="D1194"/>
  <c r="C1195"/>
  <c r="D1195"/>
  <c r="C1196"/>
  <c r="D1196"/>
  <c r="C1197"/>
  <c r="D1197"/>
  <c r="C1198"/>
  <c r="D1198"/>
  <c r="C1199"/>
  <c r="D1199"/>
  <c r="C1200"/>
  <c r="D1200"/>
  <c r="C1201"/>
  <c r="D1201"/>
  <c r="C1202"/>
  <c r="D1202"/>
  <c r="C1203"/>
  <c r="D1203"/>
  <c r="C1204"/>
  <c r="D1204"/>
  <c r="C1205"/>
  <c r="D1205"/>
  <c r="C1206"/>
  <c r="D1206"/>
  <c r="C1207"/>
  <c r="D1207"/>
  <c r="C1208"/>
  <c r="D1208"/>
  <c r="C1209"/>
  <c r="D1209"/>
  <c r="C1210"/>
  <c r="D1210"/>
  <c r="C1211"/>
  <c r="D1211"/>
  <c r="C1212"/>
  <c r="D1212"/>
  <c r="C1213"/>
  <c r="D1213"/>
  <c r="C1214"/>
  <c r="D1214"/>
  <c r="C1215"/>
  <c r="D1215"/>
  <c r="C1216"/>
  <c r="D1216"/>
  <c r="C1217"/>
  <c r="D1217"/>
  <c r="C1218"/>
  <c r="D1218"/>
  <c r="C1219"/>
  <c r="D1219"/>
  <c r="C1220"/>
  <c r="D1220"/>
  <c r="C1221"/>
  <c r="D1221"/>
  <c r="C1222"/>
  <c r="D1222"/>
  <c r="C1223"/>
  <c r="D1223"/>
  <c r="C1224"/>
  <c r="D1224"/>
  <c r="C1225"/>
  <c r="D1225"/>
  <c r="C1226"/>
  <c r="D1226"/>
  <c r="C1227"/>
  <c r="D1227"/>
  <c r="C1228"/>
  <c r="D1228"/>
  <c r="C1229"/>
  <c r="D1229"/>
  <c r="C1230"/>
  <c r="D1230"/>
  <c r="C1231"/>
  <c r="D1231"/>
  <c r="C1232"/>
  <c r="D1232"/>
  <c r="C1233"/>
  <c r="D1233"/>
  <c r="C1234"/>
  <c r="D1234"/>
  <c r="C1235"/>
  <c r="D1235"/>
  <c r="C1236"/>
  <c r="D1236"/>
  <c r="C1237"/>
  <c r="D1237"/>
  <c r="C1238"/>
  <c r="D1238"/>
  <c r="C1239"/>
  <c r="D1239"/>
  <c r="C1240"/>
  <c r="D1240"/>
  <c r="C1241"/>
  <c r="D1241"/>
  <c r="C1242"/>
  <c r="D1242"/>
  <c r="C1243"/>
  <c r="D1243"/>
  <c r="C1244"/>
  <c r="D1244"/>
  <c r="C1245"/>
  <c r="D1245"/>
  <c r="C1246"/>
  <c r="D1246"/>
  <c r="C1247"/>
  <c r="D1247"/>
  <c r="C1248"/>
  <c r="D1248"/>
  <c r="C1249"/>
  <c r="D1249"/>
  <c r="C1250"/>
  <c r="D1250"/>
  <c r="C1251"/>
  <c r="D1251"/>
  <c r="C1252"/>
  <c r="D1252"/>
  <c r="C1253"/>
  <c r="D1253"/>
  <c r="C1254"/>
  <c r="D1254"/>
  <c r="C1255"/>
  <c r="D1255"/>
  <c r="C1256"/>
  <c r="D1256"/>
  <c r="C1257"/>
  <c r="D1257"/>
  <c r="C1258"/>
  <c r="D1258"/>
  <c r="C1259"/>
  <c r="D1259"/>
  <c r="C1260"/>
  <c r="D1260"/>
  <c r="C1261"/>
  <c r="D1261"/>
  <c r="C1262"/>
  <c r="D1262"/>
  <c r="C1263"/>
  <c r="D1263"/>
  <c r="C1264"/>
  <c r="D1264"/>
  <c r="C1265"/>
  <c r="D1265"/>
  <c r="C1266"/>
  <c r="D1266"/>
  <c r="C1267"/>
  <c r="D1267"/>
  <c r="C1268"/>
  <c r="D1268"/>
  <c r="C1269"/>
  <c r="D1269"/>
  <c r="C1270"/>
  <c r="D1270"/>
  <c r="C1271"/>
  <c r="D1271"/>
  <c r="C1272"/>
  <c r="D1272"/>
  <c r="C1273"/>
  <c r="D1273"/>
  <c r="C1274"/>
  <c r="D1274"/>
  <c r="C1275"/>
  <c r="D1275"/>
  <c r="C1276"/>
  <c r="D1276"/>
  <c r="C1277"/>
  <c r="D1277"/>
  <c r="C1278"/>
  <c r="D1278"/>
  <c r="C1279"/>
  <c r="D1279"/>
  <c r="C1280"/>
  <c r="D1280"/>
  <c r="C1281"/>
  <c r="D1281"/>
  <c r="C1282"/>
  <c r="D1282"/>
  <c r="C1283"/>
  <c r="D1283"/>
  <c r="C1284"/>
  <c r="D1284"/>
  <c r="C1285"/>
  <c r="D1285"/>
  <c r="C1286"/>
  <c r="D1286"/>
  <c r="C1287"/>
  <c r="D1287"/>
  <c r="C1288"/>
  <c r="D1288"/>
  <c r="C1289"/>
  <c r="D1289"/>
  <c r="C1290"/>
  <c r="D1290"/>
  <c r="C1291"/>
  <c r="D1291"/>
  <c r="C1292"/>
  <c r="D1292"/>
  <c r="C1293"/>
  <c r="D1293"/>
  <c r="C1294"/>
  <c r="D1294"/>
  <c r="C1295"/>
  <c r="D1295"/>
  <c r="C1296"/>
  <c r="D1296"/>
  <c r="C1297"/>
  <c r="D1297"/>
  <c r="C1298"/>
  <c r="D1298"/>
  <c r="C1299"/>
  <c r="D1299"/>
  <c r="C1300"/>
  <c r="D1300"/>
  <c r="C1301"/>
  <c r="D1301"/>
  <c r="C1302"/>
  <c r="D1302"/>
  <c r="C1303"/>
  <c r="D1303"/>
  <c r="C1304"/>
  <c r="D1304"/>
  <c r="C1305"/>
  <c r="D1305"/>
  <c r="C1306"/>
  <c r="D1306"/>
  <c r="C1307"/>
  <c r="D1307"/>
  <c r="C1308"/>
  <c r="D1308"/>
  <c r="C1309"/>
  <c r="D1309"/>
  <c r="C1310"/>
  <c r="D1310"/>
  <c r="C1311"/>
  <c r="D1311"/>
  <c r="C1312"/>
  <c r="D1312"/>
  <c r="C1313"/>
  <c r="D1313"/>
  <c r="C1314"/>
  <c r="D1314"/>
  <c r="C1315"/>
  <c r="D1315"/>
  <c r="C1316"/>
  <c r="D1316"/>
  <c r="C1317"/>
  <c r="D1317"/>
  <c r="C1318"/>
  <c r="D1318"/>
  <c r="C1319"/>
  <c r="D1319"/>
  <c r="C1320"/>
  <c r="D1320"/>
  <c r="C1321"/>
  <c r="D1321"/>
  <c r="C1322"/>
  <c r="D1322"/>
  <c r="C1323"/>
  <c r="D1323"/>
  <c r="C1324"/>
  <c r="D1324"/>
  <c r="C1325"/>
  <c r="D1325"/>
  <c r="C1326"/>
  <c r="D1326"/>
  <c r="C1327"/>
  <c r="D1327"/>
  <c r="C1328"/>
  <c r="D1328"/>
  <c r="C1329"/>
  <c r="D1329"/>
  <c r="C1330"/>
  <c r="D1330"/>
  <c r="C1331"/>
  <c r="D1331"/>
  <c r="C1332"/>
  <c r="D1332"/>
  <c r="C1333"/>
  <c r="D1333"/>
  <c r="C1334"/>
  <c r="D1334"/>
  <c r="C1335"/>
  <c r="D1335"/>
  <c r="C1336"/>
  <c r="D1336"/>
  <c r="C1337"/>
  <c r="D1337"/>
  <c r="C1338"/>
  <c r="D1338"/>
  <c r="C1339"/>
  <c r="D1339"/>
  <c r="C1340"/>
  <c r="D1340"/>
  <c r="C1341"/>
  <c r="D1341"/>
  <c r="C1342"/>
  <c r="D1342"/>
  <c r="C1343"/>
  <c r="D1343"/>
  <c r="C1344"/>
  <c r="D1344"/>
  <c r="C1345"/>
  <c r="D1345"/>
  <c r="C1346"/>
  <c r="D1346"/>
  <c r="C1347"/>
  <c r="D1347"/>
  <c r="C1348"/>
  <c r="D1348"/>
  <c r="C1349"/>
  <c r="D1349"/>
  <c r="C1350"/>
  <c r="D1350"/>
  <c r="C1351"/>
  <c r="D1351"/>
  <c r="C1352"/>
  <c r="D1352"/>
  <c r="C1353"/>
  <c r="D1353"/>
  <c r="C1354"/>
  <c r="D1354"/>
  <c r="C1355"/>
  <c r="D1355"/>
  <c r="C1356"/>
  <c r="D1356"/>
  <c r="C1357"/>
  <c r="D1357"/>
  <c r="C1358"/>
  <c r="D1358"/>
  <c r="C1359"/>
  <c r="D1359"/>
  <c r="C1360"/>
  <c r="D1360"/>
  <c r="C1361"/>
  <c r="D1361"/>
  <c r="C1362"/>
  <c r="D1362"/>
  <c r="C1363"/>
  <c r="D1363"/>
  <c r="C1364"/>
  <c r="D1364"/>
  <c r="C1365"/>
  <c r="D1365"/>
  <c r="C1366"/>
  <c r="D1366"/>
  <c r="C1367"/>
  <c r="D1367"/>
  <c r="C1368"/>
  <c r="D1368"/>
  <c r="C1369"/>
  <c r="D1369"/>
  <c r="C1370"/>
  <c r="D1370"/>
  <c r="C1371"/>
  <c r="D1371"/>
  <c r="C1372"/>
  <c r="D1372"/>
  <c r="C1373"/>
  <c r="D1373"/>
  <c r="C1374"/>
  <c r="D1374"/>
  <c r="C1375"/>
  <c r="D1375"/>
  <c r="C1376"/>
  <c r="D1376"/>
  <c r="C1377"/>
  <c r="D1377"/>
  <c r="C1378"/>
  <c r="D1378"/>
  <c r="C1379"/>
  <c r="D1379"/>
  <c r="C1380"/>
  <c r="D1380"/>
  <c r="C1381"/>
  <c r="D1381"/>
  <c r="C1382"/>
  <c r="D1382"/>
  <c r="C1383"/>
  <c r="D1383"/>
  <c r="C1384"/>
  <c r="D1384"/>
  <c r="C1385"/>
  <c r="D1385"/>
  <c r="C1386"/>
  <c r="D1386"/>
  <c r="C1387"/>
  <c r="D1387"/>
  <c r="C1388"/>
  <c r="D1388"/>
  <c r="C1389"/>
  <c r="D1389"/>
  <c r="C1390"/>
  <c r="D1390"/>
  <c r="C1391"/>
  <c r="D1391"/>
  <c r="C1392"/>
  <c r="D1392"/>
  <c r="C1393"/>
  <c r="D1393"/>
  <c r="C1394"/>
  <c r="D1394"/>
  <c r="C1395"/>
  <c r="D1395"/>
  <c r="C1396"/>
  <c r="D1396"/>
  <c r="C1397"/>
  <c r="D1397"/>
  <c r="C1398"/>
  <c r="D1398"/>
  <c r="C1399"/>
  <c r="D1399"/>
  <c r="C1400"/>
  <c r="D1400"/>
  <c r="C1401"/>
  <c r="D1401"/>
  <c r="C1402"/>
  <c r="D1402"/>
  <c r="C1403"/>
  <c r="D1403"/>
  <c r="C1404"/>
  <c r="D1404"/>
  <c r="C1405"/>
  <c r="D1405"/>
  <c r="C1406"/>
  <c r="D1406"/>
  <c r="C1407"/>
  <c r="D1407"/>
  <c r="C1408"/>
  <c r="D1408"/>
  <c r="C1409"/>
  <c r="D1409"/>
  <c r="C1410"/>
  <c r="D1410"/>
  <c r="C1411"/>
  <c r="D1411"/>
  <c r="C1412"/>
  <c r="D1412"/>
  <c r="C1413"/>
  <c r="D1413"/>
  <c r="C1414"/>
  <c r="D1414"/>
  <c r="C1415"/>
  <c r="D1415"/>
  <c r="C1416"/>
  <c r="D1416"/>
  <c r="C1417"/>
  <c r="D1417"/>
  <c r="C1418"/>
  <c r="D1418"/>
  <c r="C1419"/>
  <c r="D1419"/>
  <c r="C1420"/>
  <c r="D1420"/>
  <c r="C1421"/>
  <c r="D1421"/>
  <c r="C1422"/>
  <c r="D1422"/>
  <c r="C1423"/>
  <c r="D1423"/>
  <c r="C1424"/>
  <c r="D1424"/>
  <c r="C1425"/>
  <c r="D1425"/>
  <c r="C1426"/>
  <c r="D1426"/>
  <c r="C1427"/>
  <c r="D1427"/>
  <c r="C1428"/>
  <c r="D1428"/>
  <c r="C1429"/>
  <c r="D1429"/>
  <c r="C1430"/>
  <c r="D1430"/>
  <c r="C1431"/>
  <c r="D1431"/>
  <c r="C1432"/>
  <c r="D1432"/>
  <c r="C1433"/>
  <c r="D1433"/>
  <c r="C1434"/>
  <c r="D1434"/>
  <c r="C1435"/>
  <c r="D1435"/>
  <c r="C1436"/>
  <c r="D1436"/>
  <c r="C1437"/>
  <c r="D1437"/>
  <c r="C1438"/>
  <c r="D1438"/>
  <c r="C1439"/>
  <c r="D1439"/>
  <c r="C1440"/>
  <c r="D1440"/>
  <c r="C1441"/>
  <c r="D1441"/>
  <c r="C1442"/>
  <c r="D1442"/>
  <c r="C1443"/>
  <c r="D1443"/>
  <c r="C1444"/>
  <c r="D1444"/>
  <c r="C1445"/>
  <c r="D1445"/>
  <c r="C1446"/>
  <c r="D1446"/>
  <c r="C1447"/>
  <c r="D1447"/>
  <c r="C1448"/>
  <c r="D1448"/>
  <c r="C1449"/>
  <c r="D1449"/>
  <c r="C1450"/>
  <c r="D1450"/>
  <c r="C1451"/>
  <c r="D1451"/>
  <c r="C1452"/>
  <c r="D1452"/>
  <c r="C1453"/>
  <c r="D1453"/>
  <c r="C1454"/>
  <c r="D1454"/>
  <c r="C1455"/>
  <c r="D1455"/>
  <c r="C1456"/>
  <c r="D1456"/>
  <c r="C1457"/>
  <c r="D1457"/>
  <c r="C1458"/>
  <c r="D1458"/>
  <c r="C1459"/>
  <c r="D1459"/>
  <c r="C1460"/>
  <c r="D1460"/>
  <c r="C1461"/>
  <c r="D1461"/>
  <c r="C1462"/>
  <c r="D1462"/>
  <c r="C1463"/>
  <c r="D1463"/>
  <c r="C1464"/>
  <c r="D1464"/>
  <c r="C1465"/>
  <c r="D1465"/>
  <c r="C1466"/>
  <c r="D1466"/>
  <c r="C1467"/>
  <c r="D1467"/>
  <c r="C1468"/>
  <c r="D1468"/>
  <c r="C1469"/>
  <c r="D1469"/>
  <c r="C1470"/>
  <c r="D1470"/>
  <c r="C1471"/>
  <c r="D1471"/>
  <c r="C1472"/>
  <c r="D1472"/>
  <c r="C1473"/>
  <c r="D1473"/>
  <c r="C1474"/>
  <c r="D1474"/>
  <c r="C1475"/>
  <c r="D1475"/>
  <c r="C1476"/>
  <c r="D1476"/>
  <c r="C1477"/>
  <c r="D1477"/>
  <c r="C1478"/>
  <c r="D1478"/>
  <c r="C1479"/>
  <c r="D1479"/>
  <c r="C1480"/>
  <c r="D1480"/>
  <c r="C1481"/>
  <c r="D1481"/>
  <c r="C1482"/>
  <c r="D1482"/>
  <c r="C1483"/>
  <c r="D1483"/>
  <c r="C1484"/>
  <c r="D1484"/>
  <c r="C1485"/>
  <c r="D1485"/>
  <c r="C1486"/>
  <c r="D1486"/>
  <c r="C1487"/>
  <c r="D1487"/>
  <c r="C1488"/>
  <c r="D1488"/>
  <c r="C1489"/>
  <c r="D1489"/>
  <c r="C1490"/>
  <c r="D1490"/>
  <c r="C1491"/>
  <c r="D1491"/>
  <c r="C1492"/>
  <c r="D1492"/>
  <c r="C1493"/>
  <c r="D1493"/>
  <c r="C1494"/>
  <c r="D1494"/>
  <c r="C1495"/>
  <c r="D1495"/>
  <c r="C1496"/>
  <c r="D1496"/>
  <c r="C1497"/>
  <c r="D1497"/>
  <c r="C1498"/>
  <c r="D1498"/>
  <c r="C1499"/>
  <c r="D1499"/>
  <c r="C1500"/>
  <c r="D1500"/>
  <c r="C1501"/>
  <c r="D1501"/>
  <c r="C1502"/>
  <c r="D1502"/>
  <c r="C1503"/>
  <c r="D1503"/>
  <c r="C1504"/>
  <c r="D1504"/>
  <c r="C1505"/>
  <c r="D1505"/>
  <c r="C1506"/>
  <c r="D1506"/>
  <c r="C1507"/>
  <c r="D1507"/>
  <c r="C1508"/>
  <c r="D1508"/>
  <c r="C1509"/>
  <c r="D1509"/>
  <c r="C1510"/>
  <c r="D1510"/>
  <c r="C1511"/>
  <c r="D1511"/>
  <c r="C1512"/>
  <c r="D1512"/>
  <c r="C1513"/>
  <c r="D1513"/>
  <c r="C1514"/>
  <c r="D1514"/>
  <c r="C1515"/>
  <c r="D1515"/>
  <c r="C1516"/>
  <c r="D1516"/>
  <c r="C1517"/>
  <c r="D1517"/>
  <c r="C1518"/>
  <c r="D1518"/>
  <c r="C1519"/>
  <c r="D1519"/>
  <c r="C1520"/>
  <c r="D1520"/>
  <c r="C1521"/>
  <c r="D1521"/>
  <c r="C1522"/>
  <c r="D1522"/>
  <c r="C1523"/>
  <c r="D1523"/>
  <c r="C1524"/>
  <c r="D1524"/>
  <c r="C1525"/>
  <c r="D1525"/>
  <c r="C1526"/>
  <c r="D1526"/>
  <c r="C1527"/>
  <c r="D1527"/>
  <c r="C1528"/>
  <c r="D1528"/>
  <c r="C1529"/>
  <c r="D1529"/>
  <c r="C1530"/>
  <c r="D1530"/>
  <c r="C1531"/>
  <c r="D1531"/>
  <c r="C1532"/>
  <c r="D1532"/>
  <c r="C1533"/>
  <c r="D1533"/>
  <c r="C1534"/>
  <c r="D1534"/>
  <c r="C1535"/>
  <c r="D1535"/>
  <c r="C1536"/>
  <c r="D1536"/>
  <c r="C1537"/>
  <c r="D1537"/>
  <c r="C1538"/>
  <c r="D1538"/>
  <c r="C1539"/>
  <c r="D1539"/>
  <c r="C1540"/>
  <c r="D1540"/>
  <c r="C1541"/>
  <c r="D1541"/>
  <c r="C1542"/>
  <c r="D1542"/>
  <c r="C1543"/>
  <c r="D1543"/>
  <c r="C1544"/>
  <c r="D1544"/>
  <c r="C1545"/>
  <c r="D1545"/>
  <c r="C1546"/>
  <c r="D1546"/>
  <c r="C1547"/>
  <c r="D1547"/>
  <c r="C1548"/>
  <c r="D1548"/>
  <c r="C1549"/>
  <c r="D1549"/>
  <c r="C1550"/>
  <c r="D1550"/>
  <c r="C1551"/>
  <c r="D1551"/>
  <c r="C1552"/>
  <c r="D1552"/>
  <c r="C1553"/>
  <c r="D1553"/>
  <c r="C1554"/>
  <c r="D1554"/>
  <c r="C1555"/>
  <c r="D1555"/>
  <c r="C1556"/>
  <c r="D1556"/>
  <c r="C1557"/>
  <c r="D1557"/>
  <c r="C1558"/>
  <c r="D1558"/>
  <c r="C1559"/>
  <c r="D1559"/>
  <c r="C1560"/>
  <c r="D1560"/>
  <c r="C1561"/>
  <c r="D1561"/>
  <c r="C1562"/>
  <c r="D1562"/>
  <c r="C1563"/>
  <c r="D1563"/>
  <c r="C1564"/>
  <c r="D1564"/>
  <c r="C1565"/>
  <c r="D1565"/>
  <c r="C1566"/>
  <c r="D1566"/>
  <c r="C1567"/>
  <c r="D1567"/>
  <c r="C1568"/>
  <c r="D1568"/>
  <c r="C1569"/>
  <c r="D1569"/>
  <c r="C1570"/>
  <c r="D1570"/>
  <c r="C1571"/>
  <c r="D1571"/>
  <c r="C1572"/>
  <c r="D1572"/>
  <c r="C1573"/>
  <c r="D1573"/>
  <c r="C1574"/>
  <c r="D1574"/>
  <c r="C1575"/>
  <c r="D1575"/>
  <c r="C1576"/>
  <c r="D1576"/>
  <c r="C1577"/>
  <c r="D1577"/>
  <c r="C1578"/>
  <c r="D1578"/>
  <c r="C1579"/>
  <c r="D1579"/>
  <c r="C1580"/>
  <c r="D1580"/>
  <c r="C1581"/>
  <c r="D1581"/>
  <c r="C1582"/>
  <c r="D1582"/>
  <c r="C1583"/>
  <c r="D1583"/>
  <c r="C1584"/>
  <c r="D1584"/>
  <c r="C1585"/>
  <c r="D1585"/>
  <c r="C1586"/>
  <c r="D1586"/>
  <c r="C1587"/>
  <c r="D1587"/>
  <c r="C1588"/>
  <c r="D1588"/>
  <c r="C1589"/>
  <c r="D1589"/>
  <c r="C1590"/>
  <c r="D1590"/>
  <c r="C1591"/>
  <c r="D1591"/>
  <c r="C1592"/>
  <c r="D1592"/>
  <c r="C1593"/>
  <c r="D1593"/>
  <c r="C1594"/>
  <c r="D1594"/>
  <c r="C1595"/>
  <c r="D1595"/>
  <c r="C1596"/>
  <c r="D1596"/>
  <c r="C1597"/>
  <c r="D1597"/>
  <c r="C1598"/>
  <c r="D1598"/>
  <c r="C1599"/>
  <c r="D1599"/>
  <c r="C1600"/>
  <c r="D1600"/>
  <c r="C1601"/>
  <c r="D1601"/>
  <c r="C1602"/>
  <c r="D1602"/>
  <c r="C1603"/>
  <c r="D1603"/>
  <c r="C1604"/>
  <c r="D1604"/>
  <c r="C1605"/>
  <c r="D1605"/>
  <c r="C1606"/>
  <c r="D1606"/>
  <c r="C1607"/>
  <c r="D1607"/>
  <c r="C1608"/>
  <c r="D1608"/>
  <c r="C1609"/>
  <c r="D1609"/>
  <c r="C1610"/>
  <c r="D1610"/>
  <c r="C1611"/>
  <c r="D1611"/>
  <c r="C1612"/>
  <c r="D1612"/>
  <c r="C1613"/>
  <c r="D1613"/>
  <c r="C1614"/>
  <c r="D1614"/>
  <c r="C1615"/>
  <c r="D1615"/>
  <c r="C1616"/>
  <c r="D1616"/>
  <c r="C1617"/>
  <c r="D1617"/>
  <c r="C1618"/>
  <c r="D1618"/>
  <c r="C1619"/>
  <c r="D1619"/>
  <c r="C1620"/>
  <c r="D1620"/>
  <c r="C1621"/>
  <c r="D1621"/>
  <c r="C1622"/>
  <c r="D1622"/>
  <c r="C1623"/>
  <c r="D1623"/>
  <c r="C1624"/>
  <c r="D1624"/>
  <c r="C1625"/>
  <c r="D1625"/>
  <c r="C1626"/>
  <c r="D1626"/>
  <c r="C1627"/>
  <c r="D1627"/>
  <c r="C1628"/>
  <c r="D1628"/>
  <c r="C1629"/>
  <c r="D1629"/>
  <c r="C1630"/>
  <c r="D1630"/>
  <c r="C1631"/>
  <c r="D1631"/>
  <c r="C1632"/>
  <c r="D1632"/>
  <c r="C1633"/>
  <c r="D1633"/>
  <c r="C1634"/>
  <c r="D1634"/>
  <c r="C1635"/>
  <c r="D1635"/>
  <c r="C1636"/>
  <c r="D1636"/>
  <c r="C1637"/>
  <c r="D1637"/>
  <c r="C1638"/>
  <c r="D1638"/>
  <c r="C1639"/>
  <c r="D1639"/>
  <c r="C1640"/>
  <c r="D1640"/>
  <c r="C1641"/>
  <c r="D1641"/>
  <c r="C1642"/>
  <c r="D1642"/>
  <c r="C1643"/>
  <c r="D1643"/>
  <c r="C1644"/>
  <c r="D1644"/>
  <c r="C1645"/>
  <c r="D1645"/>
  <c r="C1646"/>
  <c r="D1646"/>
  <c r="C1647"/>
  <c r="D1647"/>
  <c r="C1648"/>
  <c r="D1648"/>
  <c r="C1649"/>
  <c r="D1649"/>
  <c r="C1650"/>
  <c r="D1650"/>
  <c r="C1651"/>
  <c r="D1651"/>
  <c r="C1652"/>
  <c r="D1652"/>
  <c r="C1653"/>
  <c r="D1653"/>
  <c r="C1654"/>
  <c r="D1654"/>
  <c r="C1655"/>
  <c r="D1655"/>
  <c r="C1656"/>
  <c r="D1656"/>
  <c r="C1657"/>
  <c r="D1657"/>
  <c r="C1658"/>
  <c r="D1658"/>
  <c r="C1659"/>
  <c r="D1659"/>
  <c r="C1660"/>
  <c r="D1660"/>
  <c r="C1661"/>
  <c r="D1661"/>
  <c r="C1662"/>
  <c r="D1662"/>
  <c r="C1663"/>
  <c r="D1663"/>
  <c r="C1664"/>
  <c r="D1664"/>
  <c r="C1665"/>
  <c r="D1665"/>
  <c r="C1666"/>
  <c r="D1666"/>
  <c r="C1667"/>
  <c r="D1667"/>
  <c r="C1668"/>
  <c r="D1668"/>
  <c r="C1669"/>
  <c r="D1669"/>
  <c r="C1670"/>
  <c r="D1670"/>
  <c r="C1671"/>
  <c r="D1671"/>
  <c r="C1672"/>
  <c r="D1672"/>
  <c r="C1673"/>
  <c r="D1673"/>
  <c r="C1674"/>
  <c r="D1674"/>
  <c r="C1675"/>
  <c r="D1675"/>
  <c r="C1676"/>
  <c r="D1676"/>
  <c r="C1677"/>
  <c r="D1677"/>
  <c r="C1678"/>
  <c r="D1678"/>
  <c r="C1679"/>
  <c r="D1679"/>
  <c r="C1680"/>
  <c r="D1680"/>
  <c r="C1681"/>
  <c r="D1681"/>
  <c r="C1682"/>
  <c r="D1682"/>
  <c r="C1683"/>
  <c r="D1683"/>
  <c r="C1684"/>
  <c r="D1684"/>
  <c r="C1685"/>
  <c r="D1685"/>
  <c r="C1686"/>
  <c r="D1686"/>
  <c r="C1687"/>
  <c r="D1687"/>
  <c r="C1688"/>
  <c r="D1688"/>
  <c r="C1689"/>
  <c r="D1689"/>
  <c r="C1690"/>
  <c r="D1690"/>
  <c r="C1691"/>
  <c r="D1691"/>
  <c r="C1692"/>
  <c r="D1692"/>
  <c r="C1693"/>
  <c r="D1693"/>
  <c r="C1694"/>
  <c r="D1694"/>
  <c r="C1695"/>
  <c r="D1695"/>
  <c r="C1696"/>
  <c r="D1696"/>
  <c r="C1697"/>
  <c r="D1697"/>
  <c r="C1698"/>
  <c r="D1698"/>
  <c r="C1699"/>
  <c r="D1699"/>
  <c r="C1700"/>
  <c r="D1700"/>
  <c r="C1701"/>
  <c r="D1701"/>
  <c r="C1702"/>
  <c r="D1702"/>
  <c r="C1703"/>
  <c r="D1703"/>
  <c r="C1704"/>
  <c r="D1704"/>
  <c r="C1705"/>
  <c r="D1705"/>
  <c r="C1706"/>
  <c r="D1706"/>
  <c r="C1707"/>
  <c r="D1707"/>
  <c r="C1708"/>
  <c r="D1708"/>
  <c r="C1709"/>
  <c r="D1709"/>
  <c r="C1710"/>
  <c r="D1710"/>
  <c r="C1711"/>
  <c r="D1711"/>
  <c r="C1712"/>
  <c r="D1712"/>
  <c r="C1713"/>
  <c r="D1713"/>
  <c r="C1714"/>
  <c r="D1714"/>
  <c r="C1715"/>
  <c r="D1715"/>
  <c r="C1716"/>
  <c r="D1716"/>
  <c r="C1717"/>
  <c r="D1717"/>
  <c r="C1718"/>
  <c r="D1718"/>
  <c r="C1719"/>
  <c r="D1719"/>
  <c r="C1720"/>
  <c r="D1720"/>
  <c r="C1721"/>
  <c r="D1721"/>
  <c r="C1722"/>
  <c r="D1722"/>
  <c r="C1723"/>
  <c r="D1723"/>
  <c r="C1724"/>
  <c r="D1724"/>
  <c r="C1725"/>
  <c r="D1725"/>
  <c r="C1726"/>
  <c r="D1726"/>
  <c r="C1727"/>
  <c r="D1727"/>
  <c r="C1728"/>
  <c r="D1728"/>
  <c r="C1729"/>
  <c r="D1729"/>
  <c r="C1730"/>
  <c r="D1730"/>
  <c r="C1731"/>
  <c r="D1731"/>
  <c r="C1732"/>
  <c r="D1732"/>
  <c r="C1733"/>
  <c r="D1733"/>
  <c r="C1734"/>
  <c r="D1734"/>
  <c r="C1735"/>
  <c r="D1735"/>
  <c r="C1736"/>
  <c r="D1736"/>
  <c r="C1737"/>
  <c r="D1737"/>
  <c r="C1738"/>
  <c r="D1738"/>
  <c r="C1739"/>
  <c r="D1739"/>
  <c r="C1740"/>
  <c r="D1740"/>
  <c r="C1741"/>
  <c r="D1741"/>
  <c r="C1742"/>
  <c r="D1742"/>
  <c r="C1743"/>
  <c r="D1743"/>
  <c r="C1744"/>
  <c r="D1744"/>
  <c r="C1745"/>
  <c r="D1745"/>
  <c r="C1746"/>
  <c r="D1746"/>
  <c r="C1747"/>
  <c r="D1747"/>
  <c r="C1748"/>
  <c r="D1748"/>
  <c r="C1749"/>
  <c r="D1749"/>
  <c r="C1750"/>
  <c r="D1750"/>
  <c r="C1751"/>
  <c r="D1751"/>
  <c r="C1752"/>
  <c r="D1752"/>
  <c r="C1753"/>
  <c r="D1753"/>
  <c r="C1754"/>
  <c r="D1754"/>
  <c r="C1755"/>
  <c r="D1755"/>
  <c r="C1756"/>
  <c r="D1756"/>
  <c r="C1757"/>
  <c r="D1757"/>
  <c r="C1758"/>
  <c r="D1758"/>
  <c r="C1759"/>
  <c r="D1759"/>
  <c r="C1760"/>
  <c r="D1760"/>
  <c r="C1761"/>
  <c r="D1761"/>
  <c r="C1762"/>
  <c r="D1762"/>
  <c r="C1763"/>
  <c r="D1763"/>
  <c r="C1764"/>
  <c r="D1764"/>
  <c r="C1765"/>
  <c r="D1765"/>
  <c r="C1766"/>
  <c r="D1766"/>
  <c r="C1767"/>
  <c r="D1767"/>
  <c r="C1768"/>
  <c r="D1768"/>
  <c r="C1769"/>
  <c r="D1769"/>
  <c r="C1770"/>
  <c r="D1770"/>
  <c r="C1771"/>
  <c r="D1771"/>
  <c r="C1772"/>
  <c r="D1772"/>
  <c r="C1773"/>
  <c r="D1773"/>
  <c r="C1774"/>
  <c r="D1774"/>
  <c r="C1775"/>
  <c r="D1775"/>
  <c r="C1776"/>
  <c r="D1776"/>
  <c r="C1777"/>
  <c r="D1777"/>
  <c r="C1778"/>
  <c r="D1778"/>
  <c r="C1779"/>
  <c r="D1779"/>
  <c r="C1780"/>
  <c r="D1780"/>
  <c r="C1781"/>
  <c r="D1781"/>
  <c r="C1782"/>
  <c r="D1782"/>
  <c r="C1783"/>
  <c r="D1783"/>
  <c r="C1784"/>
  <c r="D1784"/>
  <c r="C1785"/>
  <c r="D1785"/>
  <c r="C1786"/>
  <c r="D1786"/>
  <c r="C1787"/>
  <c r="D1787"/>
  <c r="C1788"/>
  <c r="D1788"/>
  <c r="C1789"/>
  <c r="D1789"/>
  <c r="C1790"/>
  <c r="D1790"/>
  <c r="C1791"/>
  <c r="D1791"/>
  <c r="C1792"/>
  <c r="D1792"/>
  <c r="C1793"/>
  <c r="D1793"/>
  <c r="C1794"/>
  <c r="D1794"/>
  <c r="C1795"/>
  <c r="D1795"/>
  <c r="C1796"/>
  <c r="D1796"/>
  <c r="C1797"/>
  <c r="D1797"/>
  <c r="C1798"/>
  <c r="D1798"/>
  <c r="C1799"/>
  <c r="D1799"/>
  <c r="C1800"/>
  <c r="D1800"/>
  <c r="C1801"/>
  <c r="D1801"/>
  <c r="C1802"/>
  <c r="D1802"/>
  <c r="C1803"/>
  <c r="D1803"/>
  <c r="C1804"/>
  <c r="D1804"/>
  <c r="C1805"/>
  <c r="D1805"/>
  <c r="C1806"/>
  <c r="D1806"/>
  <c r="C1807"/>
  <c r="D1807"/>
  <c r="C1808"/>
  <c r="D1808"/>
  <c r="C1809"/>
  <c r="D1809"/>
  <c r="C1810"/>
  <c r="D1810"/>
  <c r="C1811"/>
  <c r="D1811"/>
  <c r="C1812"/>
  <c r="D1812"/>
  <c r="C1813"/>
  <c r="D1813"/>
  <c r="C1814"/>
  <c r="D1814"/>
  <c r="C1815"/>
  <c r="D1815"/>
  <c r="C1816"/>
  <c r="D1816"/>
  <c r="C1817"/>
  <c r="D1817"/>
  <c r="C1818"/>
  <c r="D1818"/>
  <c r="C1819"/>
  <c r="D1819"/>
  <c r="C1820"/>
  <c r="D1820"/>
  <c r="C1821"/>
  <c r="D1821"/>
  <c r="C1822"/>
  <c r="D1822"/>
  <c r="C1823"/>
  <c r="D1823"/>
  <c r="C1824"/>
  <c r="D1824"/>
  <c r="C1825"/>
  <c r="D1825"/>
  <c r="C1826"/>
  <c r="D1826"/>
  <c r="C1827"/>
  <c r="D1827"/>
  <c r="C1828"/>
  <c r="D1828"/>
  <c r="C1829"/>
  <c r="D1829"/>
  <c r="C1830"/>
  <c r="D1830"/>
  <c r="C1831"/>
  <c r="D1831"/>
  <c r="C1832"/>
  <c r="D1832"/>
  <c r="C1833"/>
  <c r="D1833"/>
  <c r="C1834"/>
  <c r="D1834"/>
  <c r="C1835"/>
  <c r="D1835"/>
  <c r="C1836"/>
  <c r="D1836"/>
  <c r="C1837"/>
  <c r="D1837"/>
  <c r="C1838"/>
  <c r="D1838"/>
  <c r="C1839"/>
  <c r="D1839"/>
  <c r="C1840"/>
  <c r="D1840"/>
  <c r="C1841"/>
  <c r="D1841"/>
  <c r="C1842"/>
  <c r="D1842"/>
  <c r="C1843"/>
  <c r="D1843"/>
  <c r="C1844"/>
  <c r="D1844"/>
  <c r="C1845"/>
  <c r="D1845"/>
  <c r="C1846"/>
  <c r="D1846"/>
  <c r="C1847"/>
  <c r="D1847"/>
  <c r="C1848"/>
  <c r="D1848"/>
  <c r="C1849"/>
  <c r="D1849"/>
  <c r="C1850"/>
  <c r="D1850"/>
  <c r="C1851"/>
  <c r="D1851"/>
  <c r="C1852"/>
  <c r="D1852"/>
  <c r="C1853"/>
  <c r="D1853"/>
  <c r="C1854"/>
  <c r="D1854"/>
  <c r="C1855"/>
  <c r="D1855"/>
  <c r="C1856"/>
  <c r="D1856"/>
  <c r="C1857"/>
  <c r="D1857"/>
  <c r="C1858"/>
  <c r="D1858"/>
  <c r="C1859"/>
  <c r="D1859"/>
  <c r="C1860"/>
  <c r="D1860"/>
  <c r="C1861"/>
  <c r="D1861"/>
  <c r="C1862"/>
  <c r="D1862"/>
  <c r="C1863"/>
  <c r="D1863"/>
  <c r="C1864"/>
  <c r="D1864"/>
  <c r="C1865"/>
  <c r="D1865"/>
  <c r="C1866"/>
  <c r="D1866"/>
  <c r="C1867"/>
  <c r="D1867"/>
  <c r="C1868"/>
  <c r="D1868"/>
  <c r="C1869"/>
  <c r="D1869"/>
  <c r="C1870"/>
  <c r="D1870"/>
  <c r="C1871"/>
  <c r="D1871"/>
  <c r="C1872"/>
  <c r="D1872"/>
  <c r="C1873"/>
  <c r="D1873"/>
  <c r="C1874"/>
  <c r="D1874"/>
  <c r="C1875"/>
  <c r="D1875"/>
  <c r="C1876"/>
  <c r="D1876"/>
  <c r="C1877"/>
  <c r="D1877"/>
  <c r="C1878"/>
  <c r="D1878"/>
  <c r="C1879"/>
  <c r="D1879"/>
  <c r="C1880"/>
  <c r="D1880"/>
  <c r="C1881"/>
  <c r="D1881"/>
  <c r="C1882"/>
  <c r="D1882"/>
  <c r="C1883"/>
  <c r="D1883"/>
  <c r="C1884"/>
  <c r="D1884"/>
  <c r="C1885"/>
  <c r="D1885"/>
  <c r="C1886"/>
  <c r="D1886"/>
  <c r="C1887"/>
  <c r="D1887"/>
  <c r="C1888"/>
  <c r="D1888"/>
  <c r="C1889"/>
  <c r="D1889"/>
  <c r="C1890"/>
  <c r="D1890"/>
  <c r="C1891"/>
  <c r="D1891"/>
  <c r="C1892"/>
  <c r="D1892"/>
  <c r="C1893"/>
  <c r="D1893"/>
  <c r="C1894"/>
  <c r="D1894"/>
  <c r="C1895"/>
  <c r="D1895"/>
  <c r="C1896"/>
  <c r="D1896"/>
  <c r="C1897"/>
  <c r="D1897"/>
  <c r="C1898"/>
  <c r="D1898"/>
  <c r="C1899"/>
  <c r="D1899"/>
  <c r="C1900"/>
  <c r="D1900"/>
  <c r="C1901"/>
  <c r="D1901"/>
  <c r="C1902"/>
  <c r="D1902"/>
  <c r="C1903"/>
  <c r="D1903"/>
  <c r="C1904"/>
  <c r="D1904"/>
  <c r="C1905"/>
  <c r="D1905"/>
  <c r="C1906"/>
  <c r="D1906"/>
  <c r="C1907"/>
  <c r="D1907"/>
  <c r="C1908"/>
  <c r="D1908"/>
  <c r="C1909"/>
  <c r="D1909"/>
  <c r="C1910"/>
  <c r="D1910"/>
  <c r="C1911"/>
  <c r="D1911"/>
  <c r="C1912"/>
  <c r="D1912"/>
  <c r="C1913"/>
  <c r="D1913"/>
  <c r="C1914"/>
  <c r="D1914"/>
  <c r="C1915"/>
  <c r="D1915"/>
  <c r="C1916"/>
  <c r="D1916"/>
  <c r="C1917"/>
  <c r="D1917"/>
  <c r="C1918"/>
  <c r="D1918"/>
  <c r="C1919"/>
  <c r="D1919"/>
  <c r="C1920"/>
  <c r="D1920"/>
  <c r="C1921"/>
  <c r="D1921"/>
  <c r="C1922"/>
  <c r="D1922"/>
  <c r="C1923"/>
  <c r="D1923"/>
  <c r="C1924"/>
  <c r="D1924"/>
  <c r="C1925"/>
  <c r="D1925"/>
  <c r="C1926"/>
  <c r="D1926"/>
  <c r="C1927"/>
  <c r="D1927"/>
  <c r="C1928"/>
  <c r="D1928"/>
  <c r="C1929"/>
  <c r="D1929"/>
  <c r="C1930"/>
  <c r="D1930"/>
  <c r="C1931"/>
  <c r="D1931"/>
  <c r="C1932"/>
  <c r="D1932"/>
  <c r="C1933"/>
  <c r="D1933"/>
  <c r="C1934"/>
  <c r="D1934"/>
  <c r="C1935"/>
  <c r="D1935"/>
  <c r="C1936"/>
  <c r="D1936"/>
  <c r="C1937"/>
  <c r="D1937"/>
  <c r="C1938"/>
  <c r="D1938"/>
  <c r="C1939"/>
  <c r="D1939"/>
  <c r="C1940"/>
  <c r="D1940"/>
  <c r="C1941"/>
  <c r="D1941"/>
  <c r="C1942"/>
  <c r="D1942"/>
  <c r="C1943"/>
  <c r="D1943"/>
  <c r="C1944"/>
  <c r="D1944"/>
  <c r="C1945"/>
  <c r="D1945"/>
  <c r="C1946"/>
  <c r="D1946"/>
  <c r="C1947"/>
  <c r="D1947"/>
  <c r="C1948"/>
  <c r="D1948"/>
  <c r="C1949"/>
  <c r="D1949"/>
  <c r="C1950"/>
  <c r="D1950"/>
  <c r="C1951"/>
  <c r="D1951"/>
  <c r="C1952"/>
  <c r="D1952"/>
  <c r="C1953"/>
  <c r="D1953"/>
  <c r="C1954"/>
  <c r="D1954"/>
  <c r="C1955"/>
  <c r="D1955"/>
  <c r="C1956"/>
  <c r="D1956"/>
  <c r="C1957"/>
  <c r="D1957"/>
  <c r="C1958"/>
  <c r="D1958"/>
  <c r="C1959"/>
  <c r="D1959"/>
  <c r="C1960"/>
  <c r="D1960"/>
  <c r="C1961"/>
  <c r="D1961"/>
  <c r="C1962"/>
  <c r="D1962"/>
  <c r="C1963"/>
  <c r="D1963"/>
  <c r="C1964"/>
  <c r="D1964"/>
  <c r="C1965"/>
  <c r="D1965"/>
  <c r="C1966"/>
  <c r="D1966"/>
  <c r="C1967"/>
  <c r="D1967"/>
  <c r="C1968"/>
  <c r="D1968"/>
  <c r="C1969"/>
  <c r="D1969"/>
  <c r="C1970"/>
  <c r="D1970"/>
  <c r="C1971"/>
  <c r="D1971"/>
  <c r="C1972"/>
  <c r="D1972"/>
  <c r="C1973"/>
  <c r="D1973"/>
  <c r="C1974"/>
  <c r="D1974"/>
  <c r="C1975"/>
  <c r="D1975"/>
  <c r="C1976"/>
  <c r="D1976"/>
  <c r="C1977"/>
  <c r="D1977"/>
  <c r="C1978"/>
  <c r="D1978"/>
  <c r="C1979"/>
  <c r="D1979"/>
  <c r="C1980"/>
  <c r="D1980"/>
  <c r="C1981"/>
  <c r="D1981"/>
  <c r="C1982"/>
  <c r="D1982"/>
  <c r="C1983"/>
  <c r="D1983"/>
  <c r="C1984"/>
  <c r="D1984"/>
  <c r="C1985"/>
  <c r="D1985"/>
  <c r="C1986"/>
  <c r="D1986"/>
  <c r="C1987"/>
  <c r="D1987"/>
  <c r="C1988"/>
  <c r="D1988"/>
  <c r="C1989"/>
  <c r="D1989"/>
  <c r="C1990"/>
  <c r="D1990"/>
  <c r="C1991"/>
  <c r="D1991"/>
  <c r="C1992"/>
  <c r="D1992"/>
  <c r="C1993"/>
  <c r="D1993"/>
  <c r="C1994"/>
  <c r="D1994"/>
  <c r="C1995"/>
  <c r="D1995"/>
  <c r="C1996"/>
  <c r="D1996"/>
  <c r="C1997"/>
  <c r="D1997"/>
  <c r="C1998"/>
  <c r="D1998"/>
  <c r="C1999"/>
  <c r="D1999"/>
  <c r="C2000"/>
  <c r="D2000"/>
  <c r="C2001"/>
  <c r="D2001"/>
  <c r="C2002"/>
  <c r="D2002"/>
  <c r="C2003"/>
  <c r="D2003"/>
  <c r="C2004"/>
  <c r="D2004"/>
  <c r="C2005"/>
  <c r="D2005"/>
  <c r="C2006"/>
  <c r="D2006"/>
  <c r="C2007"/>
  <c r="D2007"/>
  <c r="C2008"/>
  <c r="D2008"/>
  <c r="C2009"/>
  <c r="D2009"/>
  <c r="C2010"/>
  <c r="D2010"/>
  <c r="C2011"/>
  <c r="D2011"/>
  <c r="C2012"/>
  <c r="D2012"/>
  <c r="C2013"/>
  <c r="D2013"/>
  <c r="C2014"/>
  <c r="D2014"/>
  <c r="C2015"/>
  <c r="D2015"/>
  <c r="C2016"/>
  <c r="D2016"/>
  <c r="C2017"/>
  <c r="D2017"/>
  <c r="C2018"/>
  <c r="D2018"/>
  <c r="C2019"/>
  <c r="D2019"/>
  <c r="C2020"/>
  <c r="D2020"/>
  <c r="C2021"/>
  <c r="D2021"/>
  <c r="C2022"/>
  <c r="D2022"/>
  <c r="C2023"/>
  <c r="D2023"/>
  <c r="C2024"/>
  <c r="D2024"/>
  <c r="C2025"/>
  <c r="D2025"/>
  <c r="C2026"/>
  <c r="D2026"/>
  <c r="C2027"/>
  <c r="D2027"/>
  <c r="C2028"/>
  <c r="D2028"/>
  <c r="C2029"/>
  <c r="D2029"/>
  <c r="C2030"/>
  <c r="D2030"/>
  <c r="C2031"/>
  <c r="D2031"/>
  <c r="C2032"/>
  <c r="D2032"/>
  <c r="C2033"/>
  <c r="D2033"/>
  <c r="C2034"/>
  <c r="D2034"/>
  <c r="C2035"/>
  <c r="D2035"/>
  <c r="C2036"/>
  <c r="D2036"/>
  <c r="C2037"/>
  <c r="D2037"/>
  <c r="C2038"/>
  <c r="D2038"/>
  <c r="C2039"/>
  <c r="D2039"/>
  <c r="C2040"/>
  <c r="D2040"/>
  <c r="C2041"/>
  <c r="D2041"/>
  <c r="C2042"/>
  <c r="D2042"/>
  <c r="C2043"/>
  <c r="D2043"/>
  <c r="C2044"/>
  <c r="D2044"/>
  <c r="C2045"/>
  <c r="D2045"/>
  <c r="C2046"/>
  <c r="D2046"/>
  <c r="C2047"/>
  <c r="D2047"/>
  <c r="C2048"/>
  <c r="D2048"/>
  <c r="C2049"/>
  <c r="D2049"/>
  <c r="C2050"/>
  <c r="D2050"/>
  <c r="C2051"/>
  <c r="D2051"/>
  <c r="C2052"/>
  <c r="D2052"/>
  <c r="C2053"/>
  <c r="D2053"/>
  <c r="C2054"/>
  <c r="D2054"/>
  <c r="C2055"/>
  <c r="D2055"/>
  <c r="C2056"/>
  <c r="D2056"/>
  <c r="C2057"/>
  <c r="D2057"/>
  <c r="C2058"/>
  <c r="D2058"/>
  <c r="C2059"/>
  <c r="D2059"/>
  <c r="C2060"/>
  <c r="D2060"/>
  <c r="C2061"/>
  <c r="D2061"/>
  <c r="C2062"/>
  <c r="D2062"/>
  <c r="C2063"/>
  <c r="D2063"/>
  <c r="C2064"/>
  <c r="D2064"/>
  <c r="C2065"/>
  <c r="D2065"/>
  <c r="C2066"/>
  <c r="D2066"/>
  <c r="C2067"/>
  <c r="D2067"/>
  <c r="C2068"/>
  <c r="D2068"/>
  <c r="C2069"/>
  <c r="D2069"/>
  <c r="C2070"/>
  <c r="D2070"/>
  <c r="C2071"/>
  <c r="D2071"/>
  <c r="C2072"/>
  <c r="D2072"/>
  <c r="C2073"/>
  <c r="D2073"/>
  <c r="C2074"/>
  <c r="D2074"/>
  <c r="C2075"/>
  <c r="D2075"/>
  <c r="C2076"/>
  <c r="D2076"/>
  <c r="C2077"/>
  <c r="D2077"/>
  <c r="C2078"/>
  <c r="D2078"/>
  <c r="C2079"/>
  <c r="D2079"/>
  <c r="C2080"/>
  <c r="D2080"/>
  <c r="C2081"/>
  <c r="D2081"/>
  <c r="C2082"/>
  <c r="D2082"/>
  <c r="C2083"/>
  <c r="D2083"/>
  <c r="C2084"/>
  <c r="D2084"/>
  <c r="C2085"/>
  <c r="D2085"/>
  <c r="C2086"/>
  <c r="D2086"/>
  <c r="C2087"/>
  <c r="D2087"/>
  <c r="C2088"/>
  <c r="D2088"/>
  <c r="C2089"/>
  <c r="D2089"/>
  <c r="C2090"/>
  <c r="D2090"/>
  <c r="C2091"/>
  <c r="D2091"/>
  <c r="C2092"/>
  <c r="D2092"/>
  <c r="C2093"/>
  <c r="D2093"/>
  <c r="C2094"/>
  <c r="D2094"/>
  <c r="C2095"/>
  <c r="D2095"/>
  <c r="C2096"/>
  <c r="D2096"/>
  <c r="C2097"/>
  <c r="D2097"/>
  <c r="C2098"/>
  <c r="D2098"/>
  <c r="C2099"/>
  <c r="D2099"/>
  <c r="C2100"/>
  <c r="D2100"/>
  <c r="C2101"/>
  <c r="D2101"/>
  <c r="C2102"/>
  <c r="D2102"/>
  <c r="C2103"/>
  <c r="D2103"/>
  <c r="C2104"/>
  <c r="D2104"/>
  <c r="C2105"/>
  <c r="D2105"/>
  <c r="C2106"/>
  <c r="D2106"/>
  <c r="C2107"/>
  <c r="D2107"/>
  <c r="C2108"/>
  <c r="D2108"/>
  <c r="C2109"/>
  <c r="D2109"/>
  <c r="C2110"/>
  <c r="D2110"/>
  <c r="C2111"/>
  <c r="D2111"/>
  <c r="C2112"/>
  <c r="D2112"/>
  <c r="C2113"/>
  <c r="D2113"/>
  <c r="C2114"/>
  <c r="D2114"/>
  <c r="C2115"/>
  <c r="D2115"/>
  <c r="C2116"/>
  <c r="D2116"/>
  <c r="C2117"/>
  <c r="D2117"/>
  <c r="C2118"/>
  <c r="D2118"/>
  <c r="C2119"/>
  <c r="D2119"/>
  <c r="C2120"/>
  <c r="D2120"/>
  <c r="C2121"/>
  <c r="D2121"/>
  <c r="C2122"/>
  <c r="D2122"/>
  <c r="C2123"/>
  <c r="D2123"/>
  <c r="C2124"/>
  <c r="D2124"/>
  <c r="C2125"/>
  <c r="D2125"/>
  <c r="C2126"/>
  <c r="D2126"/>
  <c r="C2127"/>
  <c r="D2127"/>
  <c r="C2128"/>
  <c r="D2128"/>
  <c r="C2129"/>
  <c r="D2129"/>
  <c r="C2130"/>
  <c r="D2130"/>
  <c r="C2131"/>
  <c r="D2131"/>
  <c r="C2132"/>
  <c r="D2132"/>
  <c r="C2133"/>
  <c r="D2133"/>
  <c r="C2134"/>
  <c r="D2134"/>
  <c r="C2135"/>
  <c r="D2135"/>
  <c r="C2136"/>
  <c r="D2136"/>
  <c r="C2137"/>
  <c r="D2137"/>
  <c r="C2138"/>
  <c r="D2138"/>
  <c r="C2139"/>
  <c r="D2139"/>
  <c r="C2140"/>
  <c r="D2140"/>
  <c r="C2141"/>
  <c r="D2141"/>
  <c r="C2142"/>
  <c r="D2142"/>
  <c r="C2143"/>
  <c r="D2143"/>
  <c r="C2144"/>
  <c r="D2144"/>
  <c r="C2145"/>
  <c r="D2145"/>
  <c r="C2146"/>
  <c r="D2146"/>
  <c r="C2147"/>
  <c r="D2147"/>
  <c r="C2148"/>
  <c r="D2148"/>
  <c r="C2149"/>
  <c r="D2149"/>
  <c r="C2150"/>
  <c r="D2150"/>
  <c r="C2151"/>
  <c r="D2151"/>
  <c r="C2152"/>
  <c r="D2152"/>
  <c r="C2153"/>
  <c r="D2153"/>
  <c r="C2154"/>
  <c r="D2154"/>
  <c r="C2155"/>
  <c r="D2155"/>
  <c r="C2156"/>
  <c r="D2156"/>
  <c r="C2157"/>
  <c r="D2157"/>
  <c r="C2158"/>
  <c r="D2158"/>
  <c r="C2159"/>
  <c r="D2159"/>
  <c r="C2160"/>
  <c r="D2160"/>
  <c r="C2161"/>
  <c r="D2161"/>
  <c r="C2162"/>
  <c r="D2162"/>
  <c r="C2163"/>
  <c r="D2163"/>
  <c r="C2164"/>
  <c r="D2164"/>
  <c r="C2165"/>
  <c r="D2165"/>
  <c r="C2166"/>
  <c r="D2166"/>
  <c r="C2167"/>
  <c r="D2167"/>
  <c r="C2168"/>
  <c r="D2168"/>
  <c r="C2169"/>
  <c r="D2169"/>
  <c r="C2170"/>
  <c r="D2170"/>
  <c r="C2171"/>
  <c r="D2171"/>
  <c r="C2172"/>
  <c r="D2172"/>
  <c r="C2173"/>
  <c r="D2173"/>
  <c r="C2174"/>
  <c r="D2174"/>
  <c r="C2175"/>
  <c r="D2175"/>
  <c r="C2176"/>
  <c r="D2176"/>
  <c r="C2177"/>
  <c r="D2177"/>
  <c r="C2178"/>
  <c r="D2178"/>
  <c r="C2179"/>
  <c r="D2179"/>
  <c r="C2180"/>
  <c r="D2180"/>
  <c r="C2181"/>
  <c r="D2181"/>
  <c r="C2182"/>
  <c r="D2182"/>
  <c r="C2183"/>
  <c r="D2183"/>
  <c r="C2184"/>
  <c r="D2184"/>
  <c r="C2185"/>
  <c r="D2185"/>
  <c r="C2186"/>
  <c r="D2186"/>
  <c r="C2187"/>
  <c r="D2187"/>
  <c r="C2188"/>
  <c r="D2188"/>
  <c r="C2189"/>
  <c r="D2189"/>
  <c r="C2190"/>
  <c r="D2190"/>
  <c r="C2191"/>
  <c r="D2191"/>
  <c r="C2192"/>
  <c r="D2192"/>
  <c r="C2193"/>
  <c r="D2193"/>
  <c r="C2194"/>
  <c r="D2194"/>
  <c r="C2195"/>
  <c r="D2195"/>
  <c r="C2196"/>
  <c r="D2196"/>
  <c r="C2197"/>
  <c r="D2197"/>
  <c r="C2198"/>
  <c r="D2198"/>
  <c r="C2199"/>
  <c r="D2199"/>
  <c r="C2200"/>
  <c r="D2200"/>
  <c r="C2201"/>
  <c r="D2201"/>
  <c r="C2202"/>
  <c r="D2202"/>
  <c r="C2203"/>
  <c r="D2203"/>
  <c r="C2204"/>
  <c r="D2204"/>
  <c r="C2205"/>
  <c r="D2205"/>
  <c r="C2206"/>
  <c r="D2206"/>
  <c r="C2207"/>
  <c r="D2207"/>
  <c r="C2208"/>
  <c r="D2208"/>
  <c r="C2209"/>
  <c r="D2209"/>
  <c r="C2210"/>
  <c r="D2210"/>
  <c r="C2211"/>
  <c r="D2211"/>
  <c r="C2212"/>
  <c r="D2212"/>
  <c r="C2213"/>
  <c r="D2213"/>
  <c r="C2214"/>
  <c r="D2214"/>
  <c r="C2215"/>
  <c r="D2215"/>
  <c r="C2216"/>
  <c r="D2216"/>
  <c r="C2217"/>
  <c r="D2217"/>
  <c r="C2218"/>
  <c r="D2218"/>
  <c r="C2219"/>
  <c r="D2219"/>
  <c r="C2220"/>
  <c r="D2220"/>
  <c r="C2221"/>
  <c r="D2221"/>
  <c r="C2222"/>
  <c r="D2222"/>
  <c r="C2223"/>
  <c r="D2223"/>
  <c r="C2224"/>
  <c r="D2224"/>
  <c r="C2225"/>
  <c r="D2225"/>
  <c r="C2226"/>
  <c r="D2226"/>
  <c r="C2227"/>
  <c r="D2227"/>
  <c r="C2228"/>
  <c r="D2228"/>
  <c r="C2229"/>
  <c r="D2229"/>
  <c r="C2230"/>
  <c r="D2230"/>
  <c r="C2231"/>
  <c r="D2231"/>
  <c r="C2232"/>
  <c r="D2232"/>
  <c r="C2233"/>
  <c r="D2233"/>
  <c r="C2234"/>
  <c r="D2234"/>
  <c r="C2235"/>
  <c r="D2235"/>
  <c r="C2236"/>
  <c r="D2236"/>
  <c r="C2237"/>
  <c r="D2237"/>
  <c r="C2238"/>
  <c r="D2238"/>
  <c r="C2239"/>
  <c r="D2239"/>
  <c r="C2240"/>
  <c r="D2240"/>
  <c r="C2241"/>
  <c r="D2241"/>
  <c r="C2242"/>
  <c r="D2242"/>
  <c r="C2243"/>
  <c r="D2243"/>
  <c r="C2244"/>
  <c r="D2244"/>
  <c r="C2245"/>
  <c r="D2245"/>
  <c r="C2246"/>
  <c r="D2246"/>
  <c r="C2247"/>
  <c r="D2247"/>
  <c r="C2248"/>
  <c r="D2248"/>
  <c r="C2249"/>
  <c r="D2249"/>
  <c r="C2250"/>
  <c r="D2250"/>
  <c r="C2251"/>
  <c r="D2251"/>
  <c r="C2252"/>
  <c r="D2252"/>
  <c r="C2253"/>
  <c r="D2253"/>
  <c r="C2254"/>
  <c r="D2254"/>
  <c r="C2255"/>
  <c r="D2255"/>
  <c r="C2256"/>
  <c r="D2256"/>
  <c r="C2257"/>
  <c r="D2257"/>
  <c r="C2258"/>
  <c r="D2258"/>
  <c r="C2259"/>
  <c r="D2259"/>
  <c r="C2260"/>
  <c r="D2260"/>
  <c r="C2261"/>
  <c r="D2261"/>
  <c r="C2262"/>
  <c r="D2262"/>
  <c r="C2263"/>
  <c r="D2263"/>
  <c r="C2264"/>
  <c r="D2264"/>
  <c r="C2265"/>
  <c r="D2265"/>
  <c r="C2266"/>
  <c r="D2266"/>
  <c r="C2267"/>
  <c r="D2267"/>
  <c r="C2268"/>
  <c r="D2268"/>
  <c r="C2269"/>
  <c r="D2269"/>
  <c r="C2270"/>
  <c r="D2270"/>
  <c r="C2271"/>
  <c r="D2271"/>
  <c r="C2272"/>
  <c r="D2272"/>
  <c r="C2273"/>
  <c r="D2273"/>
  <c r="C2274"/>
  <c r="D2274"/>
  <c r="C2275"/>
  <c r="D2275"/>
  <c r="C2276"/>
  <c r="D2276"/>
  <c r="C2277"/>
  <c r="D2277"/>
  <c r="C2278"/>
  <c r="D2278"/>
  <c r="C2279"/>
  <c r="D2279"/>
  <c r="C2280"/>
  <c r="D2280"/>
  <c r="C2281"/>
  <c r="D2281"/>
  <c r="C2282"/>
  <c r="D2282"/>
  <c r="C2283"/>
  <c r="D2283"/>
  <c r="C2284"/>
  <c r="D2284"/>
  <c r="C2285"/>
  <c r="D2285"/>
  <c r="C2286"/>
  <c r="D2286"/>
  <c r="C2287"/>
  <c r="D2287"/>
  <c r="C2288"/>
  <c r="D2288"/>
  <c r="C2289"/>
  <c r="D2289"/>
  <c r="C2290"/>
  <c r="D2290"/>
  <c r="C2291"/>
  <c r="D2291"/>
  <c r="C2292"/>
  <c r="D2292"/>
  <c r="C2293"/>
  <c r="D2293"/>
  <c r="C2294"/>
  <c r="D2294"/>
  <c r="C2295"/>
  <c r="D2295"/>
  <c r="C2296"/>
  <c r="D2296"/>
  <c r="C2297"/>
  <c r="D2297"/>
  <c r="C2298"/>
  <c r="D2298"/>
  <c r="C2299"/>
  <c r="D2299"/>
  <c r="C2300"/>
  <c r="D2300"/>
  <c r="C2301"/>
  <c r="D2301"/>
  <c r="C2302"/>
  <c r="D2302"/>
  <c r="C2303"/>
  <c r="D2303"/>
  <c r="C2304"/>
  <c r="D2304"/>
  <c r="C2305"/>
  <c r="D2305"/>
  <c r="C2306"/>
  <c r="D2306"/>
  <c r="C2307"/>
  <c r="D2307"/>
  <c r="C2308"/>
  <c r="D2308"/>
  <c r="C2309"/>
  <c r="D2309"/>
  <c r="C2310"/>
  <c r="D2310"/>
  <c r="C2311"/>
  <c r="D2311"/>
  <c r="C2312"/>
  <c r="D2312"/>
  <c r="C2313"/>
  <c r="D2313"/>
  <c r="C2314"/>
  <c r="D2314"/>
  <c r="C2315"/>
  <c r="D2315"/>
  <c r="C2316"/>
  <c r="D2316"/>
  <c r="C2317"/>
  <c r="D2317"/>
  <c r="C2318"/>
  <c r="D2318"/>
  <c r="C2319"/>
  <c r="D2319"/>
  <c r="C2320"/>
  <c r="D2320"/>
  <c r="C2321"/>
  <c r="D2321"/>
  <c r="C2322"/>
  <c r="D2322"/>
  <c r="C2323"/>
  <c r="D2323"/>
  <c r="C2324"/>
  <c r="D2324"/>
  <c r="C2325"/>
  <c r="D2325"/>
  <c r="C2326"/>
  <c r="D2326"/>
  <c r="C2327"/>
  <c r="D2327"/>
  <c r="C2328"/>
  <c r="D2328"/>
  <c r="C2329"/>
  <c r="D2329"/>
  <c r="C2330"/>
  <c r="D2330"/>
  <c r="C2331"/>
  <c r="D2331"/>
  <c r="C2332"/>
  <c r="D2332"/>
  <c r="C2333"/>
  <c r="D2333"/>
  <c r="C2334"/>
  <c r="D2334"/>
  <c r="C2335"/>
  <c r="D2335"/>
  <c r="C2336"/>
  <c r="D2336"/>
  <c r="C2337"/>
  <c r="D2337"/>
  <c r="C2338"/>
  <c r="D2338"/>
  <c r="C2339"/>
  <c r="D2339"/>
  <c r="C2340"/>
  <c r="D2340"/>
  <c r="C2341"/>
  <c r="D2341"/>
  <c r="C2342"/>
  <c r="D2342"/>
  <c r="C2343"/>
  <c r="D2343"/>
  <c r="C2344"/>
  <c r="D2344"/>
  <c r="C2345"/>
  <c r="D2345"/>
  <c r="C2346"/>
  <c r="D2346"/>
  <c r="C2347"/>
  <c r="D2347"/>
  <c r="C2348"/>
  <c r="D2348"/>
  <c r="C2349"/>
  <c r="D2349"/>
  <c r="C2350"/>
  <c r="D2350"/>
  <c r="C2351"/>
  <c r="D2351"/>
  <c r="C2352"/>
  <c r="D2352"/>
  <c r="C2353"/>
  <c r="D2353"/>
  <c r="C2354"/>
  <c r="D2354"/>
  <c r="C2355"/>
  <c r="D2355"/>
  <c r="C2356"/>
  <c r="D2356"/>
  <c r="C2357"/>
  <c r="D2357"/>
  <c r="C2358"/>
  <c r="D2358"/>
  <c r="C2359"/>
  <c r="D2359"/>
  <c r="C2360"/>
  <c r="D2360"/>
  <c r="C2361"/>
  <c r="D2361"/>
  <c r="C2362"/>
  <c r="D2362"/>
  <c r="C2363"/>
  <c r="D2363"/>
  <c r="C2364"/>
  <c r="D2364"/>
  <c r="C2365"/>
  <c r="D2365"/>
  <c r="C2366"/>
  <c r="D2366"/>
  <c r="C2367"/>
  <c r="D2367"/>
  <c r="C2368"/>
  <c r="D2368"/>
  <c r="C2369"/>
  <c r="D2369"/>
  <c r="C2370"/>
  <c r="D2370"/>
  <c r="C2371"/>
  <c r="D2371"/>
  <c r="C2372"/>
  <c r="D2372"/>
  <c r="C2373"/>
  <c r="D2373"/>
  <c r="C2374"/>
  <c r="D2374"/>
  <c r="C2375"/>
  <c r="D2375"/>
  <c r="C2376"/>
  <c r="D2376"/>
  <c r="C2377"/>
  <c r="D2377"/>
  <c r="C2378"/>
  <c r="D2378"/>
  <c r="C2379"/>
  <c r="D2379"/>
  <c r="C2380"/>
  <c r="D2380"/>
  <c r="C2381"/>
  <c r="D2381"/>
  <c r="C2382"/>
  <c r="D2382"/>
  <c r="C2383"/>
  <c r="D2383"/>
  <c r="C2384"/>
  <c r="D2384"/>
  <c r="C2385"/>
  <c r="D2385"/>
  <c r="C2386"/>
  <c r="D2386"/>
  <c r="C2387"/>
  <c r="D2387"/>
  <c r="C2388"/>
  <c r="D2388"/>
  <c r="C2389"/>
  <c r="D2389"/>
  <c r="C2390"/>
  <c r="D2390"/>
  <c r="C2391"/>
  <c r="D2391"/>
  <c r="C2392"/>
  <c r="D2392"/>
  <c r="C2393"/>
  <c r="D2393"/>
  <c r="C2394"/>
  <c r="D2394"/>
  <c r="C2395"/>
  <c r="D2395"/>
  <c r="C2396"/>
  <c r="D2396"/>
  <c r="C2397"/>
  <c r="D2397"/>
  <c r="C2398"/>
  <c r="D2398"/>
  <c r="C2399"/>
  <c r="D2399"/>
  <c r="C2400"/>
  <c r="D2400"/>
  <c r="C2401"/>
  <c r="D2401"/>
  <c r="C2402"/>
  <c r="D2402"/>
  <c r="C2403"/>
  <c r="D2403"/>
  <c r="C2404"/>
  <c r="D2404"/>
  <c r="C2405"/>
  <c r="D2405"/>
  <c r="C2406"/>
  <c r="D2406"/>
  <c r="C2407"/>
  <c r="D2407"/>
  <c r="C2408"/>
  <c r="D2408"/>
  <c r="C2409"/>
  <c r="D2409"/>
  <c r="C2410"/>
  <c r="D2410"/>
  <c r="C2411"/>
  <c r="D2411"/>
  <c r="C2412"/>
  <c r="D2412"/>
  <c r="C2413"/>
  <c r="D2413"/>
  <c r="C2414"/>
  <c r="D2414"/>
  <c r="C2415"/>
  <c r="D2415"/>
  <c r="C2416"/>
  <c r="D2416"/>
  <c r="C2417"/>
  <c r="D2417"/>
  <c r="C2418"/>
  <c r="D2418"/>
  <c r="C2419"/>
  <c r="D2419"/>
  <c r="C2420"/>
  <c r="D2420"/>
  <c r="C2421"/>
  <c r="D2421"/>
  <c r="C2422"/>
  <c r="D2422"/>
  <c r="C2423"/>
  <c r="D2423"/>
  <c r="C2424"/>
  <c r="D2424"/>
  <c r="C2425"/>
  <c r="D2425"/>
  <c r="C2426"/>
  <c r="D2426"/>
  <c r="C2427"/>
  <c r="D2427"/>
  <c r="C2428"/>
  <c r="D2428"/>
  <c r="C2429"/>
  <c r="D2429"/>
  <c r="C2430"/>
  <c r="D2430"/>
  <c r="C2431"/>
  <c r="D2431"/>
  <c r="C2432"/>
  <c r="D2432"/>
  <c r="C2433"/>
  <c r="D2433"/>
  <c r="C2434"/>
  <c r="D2434"/>
  <c r="C2435"/>
  <c r="D2435"/>
  <c r="C2436"/>
  <c r="D2436"/>
  <c r="C2437"/>
  <c r="D2437"/>
  <c r="C2438"/>
  <c r="D2438"/>
  <c r="C2439"/>
  <c r="D2439"/>
  <c r="C2440"/>
  <c r="D2440"/>
  <c r="C2441"/>
  <c r="D2441"/>
  <c r="C2442"/>
  <c r="D2442"/>
  <c r="C2443"/>
  <c r="D2443"/>
  <c r="C2444"/>
  <c r="D2444"/>
  <c r="C2445"/>
  <c r="D2445"/>
  <c r="C2446"/>
  <c r="D2446"/>
  <c r="C2447"/>
  <c r="D2447"/>
  <c r="C2448"/>
  <c r="D2448"/>
  <c r="C2449"/>
  <c r="D2449"/>
  <c r="C2450"/>
  <c r="D2450"/>
  <c r="C2451"/>
  <c r="D2451"/>
  <c r="C2452"/>
  <c r="D2452"/>
  <c r="C2453"/>
  <c r="D2453"/>
  <c r="C2454"/>
  <c r="D2454"/>
  <c r="C2455"/>
  <c r="D2455"/>
  <c r="C2456"/>
  <c r="D2456"/>
  <c r="C2457"/>
  <c r="D2457"/>
  <c r="C2458"/>
  <c r="D2458"/>
  <c r="C2459"/>
  <c r="D2459"/>
  <c r="C2460"/>
  <c r="D2460"/>
  <c r="C2461"/>
  <c r="D2461"/>
  <c r="C2462"/>
  <c r="D2462"/>
  <c r="C2463"/>
  <c r="D2463"/>
  <c r="C2464"/>
  <c r="D2464"/>
  <c r="C2465"/>
  <c r="D2465"/>
  <c r="C2466"/>
  <c r="D2466"/>
  <c r="C2467"/>
  <c r="D2467"/>
  <c r="C2468"/>
  <c r="D2468"/>
  <c r="C2469"/>
  <c r="D2469"/>
  <c r="C2470"/>
  <c r="D2470"/>
  <c r="C2471"/>
  <c r="D2471"/>
  <c r="C2472"/>
  <c r="D2472"/>
  <c r="C2473"/>
  <c r="D2473"/>
  <c r="C2474"/>
  <c r="D2474"/>
  <c r="C2475"/>
  <c r="D2475"/>
  <c r="C2476"/>
  <c r="D2476"/>
  <c r="C2477"/>
  <c r="D2477"/>
  <c r="C2478"/>
  <c r="D2478"/>
  <c r="C2479"/>
  <c r="D2479"/>
  <c r="C2480"/>
  <c r="D2480"/>
  <c r="C2481"/>
  <c r="D2481"/>
  <c r="C2482"/>
  <c r="D2482"/>
  <c r="C2483"/>
  <c r="D2483"/>
  <c r="C2484"/>
  <c r="D2484"/>
  <c r="C2485"/>
  <c r="D2485"/>
  <c r="C2486"/>
  <c r="D2486"/>
  <c r="C2487"/>
  <c r="D2487"/>
  <c r="C2488"/>
  <c r="D2488"/>
  <c r="C2489"/>
  <c r="D2489"/>
  <c r="C2490"/>
  <c r="D2490"/>
  <c r="C2491"/>
  <c r="D2491"/>
  <c r="C2492"/>
  <c r="D2492"/>
  <c r="C2493"/>
  <c r="D2493"/>
  <c r="C2494"/>
  <c r="D2494"/>
  <c r="C2495"/>
  <c r="D2495"/>
  <c r="C2496"/>
  <c r="D2496"/>
  <c r="C2497"/>
  <c r="D2497"/>
  <c r="C2498"/>
  <c r="D2498"/>
  <c r="C2499"/>
  <c r="D2499"/>
  <c r="C2500"/>
  <c r="D2500"/>
  <c r="C2501"/>
  <c r="D2501"/>
  <c r="C2502"/>
  <c r="D2502"/>
  <c r="C2503"/>
  <c r="D2503"/>
  <c r="C2504"/>
  <c r="D2504"/>
  <c r="C2505"/>
  <c r="D2505"/>
  <c r="C2506"/>
  <c r="D2506"/>
  <c r="C2507"/>
  <c r="D2507"/>
  <c r="C2508"/>
  <c r="D2508"/>
  <c r="C2509"/>
  <c r="D2509"/>
  <c r="C2510"/>
  <c r="D2510"/>
  <c r="C2511"/>
  <c r="D2511"/>
  <c r="C2512"/>
  <c r="D2512"/>
  <c r="C2513"/>
  <c r="D2513"/>
  <c r="C2514"/>
  <c r="D2514"/>
  <c r="C2515"/>
  <c r="D2515"/>
  <c r="C2516"/>
  <c r="D2516"/>
  <c r="C2517"/>
  <c r="D2517"/>
  <c r="C2518"/>
  <c r="D2518"/>
  <c r="C2519"/>
  <c r="D2519"/>
  <c r="C2520"/>
  <c r="D2520"/>
  <c r="C2521"/>
  <c r="D2521"/>
  <c r="C2522"/>
  <c r="D2522"/>
  <c r="C2523"/>
  <c r="D2523"/>
  <c r="C2524"/>
  <c r="D2524"/>
  <c r="C2525"/>
  <c r="D2525"/>
  <c r="C2526"/>
  <c r="D2526"/>
  <c r="C2527"/>
  <c r="D2527"/>
  <c r="C2528"/>
  <c r="D2528"/>
  <c r="C2529"/>
  <c r="D2529"/>
  <c r="C2530"/>
  <c r="D2530"/>
  <c r="C2531"/>
  <c r="D2531"/>
  <c r="C2532"/>
  <c r="D2532"/>
  <c r="C2533"/>
  <c r="D2533"/>
  <c r="C2534"/>
  <c r="D2534"/>
  <c r="C2535"/>
  <c r="D2535"/>
  <c r="C2536"/>
  <c r="D2536"/>
  <c r="C2537"/>
  <c r="D2537"/>
  <c r="C2538"/>
  <c r="D2538"/>
  <c r="C2539"/>
  <c r="D2539"/>
  <c r="C2540"/>
  <c r="D2540"/>
  <c r="C2541"/>
  <c r="D2541"/>
  <c r="C2542"/>
  <c r="D2542"/>
  <c r="C2543"/>
  <c r="D2543"/>
  <c r="C2544"/>
  <c r="D2544"/>
  <c r="C2545"/>
  <c r="D2545"/>
  <c r="C2546"/>
  <c r="D2546"/>
  <c r="C2547"/>
  <c r="D2547"/>
  <c r="C2548"/>
  <c r="D2548"/>
  <c r="C2549"/>
  <c r="D2549"/>
  <c r="C2550"/>
  <c r="D2550"/>
  <c r="C2551"/>
  <c r="D2551"/>
  <c r="C2552"/>
  <c r="D2552"/>
  <c r="C2553"/>
  <c r="D2553"/>
  <c r="C2554"/>
  <c r="D2554"/>
  <c r="C2555"/>
  <c r="D2555"/>
  <c r="C2556"/>
  <c r="D2556"/>
  <c r="C2557"/>
  <c r="D2557"/>
  <c r="C2558"/>
  <c r="D2558"/>
  <c r="C2559"/>
  <c r="D2559"/>
  <c r="C2560"/>
  <c r="D2560"/>
  <c r="C2561"/>
  <c r="D2561"/>
  <c r="C2562"/>
  <c r="D2562"/>
  <c r="C2563"/>
  <c r="D2563"/>
  <c r="C2564"/>
  <c r="D2564"/>
  <c r="C2565"/>
  <c r="D2565"/>
  <c r="C2566"/>
  <c r="D2566"/>
  <c r="C2567"/>
  <c r="D2567"/>
  <c r="C2568"/>
  <c r="D2568"/>
  <c r="C2569"/>
  <c r="D2569"/>
  <c r="C2570"/>
  <c r="D2570"/>
  <c r="C2571"/>
  <c r="D2571"/>
  <c r="C2572"/>
  <c r="D2572"/>
  <c r="C2573"/>
  <c r="D2573"/>
  <c r="C2574"/>
  <c r="D2574"/>
  <c r="C2575"/>
  <c r="D2575"/>
  <c r="C2576"/>
  <c r="D2576"/>
  <c r="C2577"/>
  <c r="D2577"/>
  <c r="C2578"/>
  <c r="D2578"/>
  <c r="C2579"/>
  <c r="D2579"/>
  <c r="C2580"/>
  <c r="D2580"/>
  <c r="C2581"/>
  <c r="D2581"/>
  <c r="C2582"/>
  <c r="D2582"/>
  <c r="C2583"/>
  <c r="D2583"/>
  <c r="C2584"/>
  <c r="D2584"/>
  <c r="C2585"/>
  <c r="D2585"/>
  <c r="C2586"/>
  <c r="D2586"/>
  <c r="C2587"/>
  <c r="D2587"/>
  <c r="C2588"/>
  <c r="D2588"/>
  <c r="C2589"/>
  <c r="D2589"/>
  <c r="C2590"/>
  <c r="D2590"/>
  <c r="C2591"/>
  <c r="D2591"/>
  <c r="C2592"/>
  <c r="D2592"/>
  <c r="C2593"/>
  <c r="D2593"/>
  <c r="C2594"/>
  <c r="D2594"/>
  <c r="C2595"/>
  <c r="D2595"/>
  <c r="C2596"/>
  <c r="D2596"/>
  <c r="C2597"/>
  <c r="D2597"/>
  <c r="C2598"/>
  <c r="D2598"/>
  <c r="C2599"/>
  <c r="D2599"/>
  <c r="C2600"/>
  <c r="D2600"/>
  <c r="C2601"/>
  <c r="D2601"/>
  <c r="C2602"/>
  <c r="D2602"/>
  <c r="C2603"/>
  <c r="D2603"/>
  <c r="C2604"/>
  <c r="D2604"/>
  <c r="C2605"/>
  <c r="D2605"/>
  <c r="C2606"/>
  <c r="D2606"/>
  <c r="C2607"/>
  <c r="D2607"/>
  <c r="C2608"/>
  <c r="D2608"/>
  <c r="C2609"/>
  <c r="D2609"/>
  <c r="C2610"/>
  <c r="D2610"/>
  <c r="C2611"/>
  <c r="D2611"/>
  <c r="C2612"/>
  <c r="D2612"/>
  <c r="C2613"/>
  <c r="D2613"/>
  <c r="C2614"/>
  <c r="D2614"/>
  <c r="C2615"/>
  <c r="D2615"/>
  <c r="C2616"/>
  <c r="D2616"/>
  <c r="C2617"/>
  <c r="D2617"/>
  <c r="C2618"/>
  <c r="D2618"/>
  <c r="C2619"/>
  <c r="D2619"/>
  <c r="C2620"/>
  <c r="D2620"/>
  <c r="C2621"/>
  <c r="D2621"/>
  <c r="C2622"/>
  <c r="D2622"/>
  <c r="C2623"/>
  <c r="D2623"/>
  <c r="C2624"/>
  <c r="D2624"/>
  <c r="C2625"/>
  <c r="D2625"/>
  <c r="C2626"/>
  <c r="D2626"/>
  <c r="C2627"/>
  <c r="D2627"/>
  <c r="C2628"/>
  <c r="D2628"/>
  <c r="C2629"/>
  <c r="D2629"/>
  <c r="C2630"/>
  <c r="D2630"/>
  <c r="C2631"/>
  <c r="D2631"/>
  <c r="C2632"/>
  <c r="D2632"/>
  <c r="C2633"/>
  <c r="D2633"/>
  <c r="C2634"/>
  <c r="D2634"/>
  <c r="C2635"/>
  <c r="D2635"/>
  <c r="C2636"/>
  <c r="D2636"/>
  <c r="C2637"/>
  <c r="D2637"/>
  <c r="C2638"/>
  <c r="D2638"/>
  <c r="C2639"/>
  <c r="D2639"/>
  <c r="C2640"/>
  <c r="D2640"/>
  <c r="C2641"/>
  <c r="D2641"/>
  <c r="C2642"/>
  <c r="D2642"/>
  <c r="C2643"/>
  <c r="D2643"/>
  <c r="C2644"/>
  <c r="D2644"/>
  <c r="C2645"/>
  <c r="D2645"/>
  <c r="C2646"/>
  <c r="D2646"/>
  <c r="C2647"/>
  <c r="D2647"/>
  <c r="C2648"/>
  <c r="D2648"/>
  <c r="C2649"/>
  <c r="D2649"/>
  <c r="C2650"/>
  <c r="D2650"/>
  <c r="C2651"/>
  <c r="D2651"/>
  <c r="C2652"/>
  <c r="D2652"/>
  <c r="C2653"/>
  <c r="D2653"/>
  <c r="C2654"/>
  <c r="D2654"/>
  <c r="C2655"/>
  <c r="D2655"/>
  <c r="C2656"/>
  <c r="D2656"/>
  <c r="C2657"/>
  <c r="D2657"/>
  <c r="C2658"/>
  <c r="D2658"/>
  <c r="C2659"/>
  <c r="D2659"/>
  <c r="C2660"/>
  <c r="D2660"/>
  <c r="C2661"/>
  <c r="D2661"/>
  <c r="C2662"/>
  <c r="D2662"/>
  <c r="C2663"/>
  <c r="D2663"/>
  <c r="C2664"/>
  <c r="D2664"/>
  <c r="C2665"/>
  <c r="D2665"/>
  <c r="C2666"/>
  <c r="D2666"/>
  <c r="C2667"/>
  <c r="D2667"/>
  <c r="C2668"/>
  <c r="D2668"/>
  <c r="C2669"/>
  <c r="D2669"/>
  <c r="C2670"/>
  <c r="D2670"/>
  <c r="C2671"/>
  <c r="D2671"/>
  <c r="C2672"/>
  <c r="D2672"/>
  <c r="C2673"/>
  <c r="D2673"/>
  <c r="C2674"/>
  <c r="D2674"/>
  <c r="C2675"/>
  <c r="D2675"/>
  <c r="C2676"/>
  <c r="D2676"/>
  <c r="C2677"/>
  <c r="D2677"/>
  <c r="C2678"/>
  <c r="D2678"/>
  <c r="C2679"/>
  <c r="D2679"/>
  <c r="C2680"/>
  <c r="D2680"/>
  <c r="C2681"/>
  <c r="D2681"/>
  <c r="C2682"/>
  <c r="D2682"/>
  <c r="C2683"/>
  <c r="D2683"/>
  <c r="C2684"/>
  <c r="D2684"/>
  <c r="C2685"/>
  <c r="D2685"/>
  <c r="C2686"/>
  <c r="D2686"/>
  <c r="C2687"/>
  <c r="D2687"/>
  <c r="C2688"/>
  <c r="D2688"/>
  <c r="C2689"/>
  <c r="D2689"/>
  <c r="C2690"/>
  <c r="D2690"/>
  <c r="C2691"/>
  <c r="D2691"/>
  <c r="C2692"/>
  <c r="D2692"/>
  <c r="C2693"/>
  <c r="D2693"/>
  <c r="C2694"/>
  <c r="D2694"/>
  <c r="C2695"/>
  <c r="D2695"/>
  <c r="C2696"/>
  <c r="D2696"/>
  <c r="C2697"/>
  <c r="D2697"/>
  <c r="C2698"/>
  <c r="D2698"/>
  <c r="C2699"/>
  <c r="D2699"/>
  <c r="C2700"/>
  <c r="D2700"/>
  <c r="C2701"/>
  <c r="D2701"/>
  <c r="C2702"/>
  <c r="D2702"/>
  <c r="C2703"/>
  <c r="D2703"/>
  <c r="C2704"/>
  <c r="D2704"/>
  <c r="C2705"/>
  <c r="D2705"/>
  <c r="C2706"/>
  <c r="D2706"/>
  <c r="C2707"/>
  <c r="D2707"/>
  <c r="C2708"/>
  <c r="D2708"/>
  <c r="C2709"/>
  <c r="D2709"/>
  <c r="C2710"/>
  <c r="D2710"/>
  <c r="C2711"/>
  <c r="D2711"/>
  <c r="C2712"/>
  <c r="D2712"/>
  <c r="C2713"/>
  <c r="D2713"/>
  <c r="C2714"/>
  <c r="D2714"/>
  <c r="C2715"/>
  <c r="D2715"/>
  <c r="C2716"/>
  <c r="D2716"/>
  <c r="C2717"/>
  <c r="D2717"/>
  <c r="C2718"/>
  <c r="D2718"/>
  <c r="C2719"/>
  <c r="D2719"/>
  <c r="C2720"/>
  <c r="D2720"/>
  <c r="C2721"/>
  <c r="D2721"/>
  <c r="C2722"/>
  <c r="D2722"/>
  <c r="C2723"/>
  <c r="D2723"/>
  <c r="C2724"/>
  <c r="D2724"/>
  <c r="C2725"/>
  <c r="D2725"/>
  <c r="C2726"/>
  <c r="D2726"/>
  <c r="C2727"/>
  <c r="D2727"/>
  <c r="C2728"/>
  <c r="D2728"/>
  <c r="C2729"/>
  <c r="D2729"/>
  <c r="C2730"/>
  <c r="D2730"/>
  <c r="C2731"/>
  <c r="D2731"/>
  <c r="C2732"/>
  <c r="D2732"/>
  <c r="C2733"/>
  <c r="D2733"/>
  <c r="C2734"/>
  <c r="D2734"/>
  <c r="C2735"/>
  <c r="D2735"/>
  <c r="C2736"/>
  <c r="D2736"/>
  <c r="C2737"/>
  <c r="D2737"/>
  <c r="C2738"/>
  <c r="D2738"/>
  <c r="C2739"/>
  <c r="D2739"/>
  <c r="C2740"/>
  <c r="D2740"/>
  <c r="C2741"/>
  <c r="D2741"/>
  <c r="C2742"/>
  <c r="D2742"/>
  <c r="C2743"/>
  <c r="D2743"/>
  <c r="C2744"/>
  <c r="D2744"/>
  <c r="C2745"/>
  <c r="D2745"/>
  <c r="C2746"/>
  <c r="D2746"/>
  <c r="C2747"/>
  <c r="D2747"/>
  <c r="C2748"/>
  <c r="D2748"/>
  <c r="C2749"/>
  <c r="D2749"/>
  <c r="C2750"/>
  <c r="D2750"/>
  <c r="C2751"/>
  <c r="D2751"/>
  <c r="C2752"/>
  <c r="D2752"/>
  <c r="C2753"/>
  <c r="D2753"/>
  <c r="C2754"/>
  <c r="D2754"/>
  <c r="C2755"/>
  <c r="D2755"/>
  <c r="C2756"/>
  <c r="D2756"/>
  <c r="C2757"/>
  <c r="D2757"/>
  <c r="C2758"/>
  <c r="D2758"/>
  <c r="C2759"/>
  <c r="D2759"/>
  <c r="C2760"/>
  <c r="D2760"/>
  <c r="C2761"/>
  <c r="D2761"/>
  <c r="C2762"/>
  <c r="D2762"/>
  <c r="C2763"/>
  <c r="D2763"/>
  <c r="C2764"/>
  <c r="D2764"/>
  <c r="C2765"/>
  <c r="D2765"/>
  <c r="C2766"/>
  <c r="D2766"/>
  <c r="C2767"/>
  <c r="D2767"/>
  <c r="C2768"/>
  <c r="D2768"/>
  <c r="C2769"/>
  <c r="D2769"/>
  <c r="C2770"/>
  <c r="D2770"/>
  <c r="C2771"/>
  <c r="D2771"/>
  <c r="C2772"/>
  <c r="D2772"/>
  <c r="C2773"/>
  <c r="D2773"/>
  <c r="C2774"/>
  <c r="D2774"/>
  <c r="C2775"/>
  <c r="D2775"/>
  <c r="C2776"/>
  <c r="D2776"/>
  <c r="C2777"/>
  <c r="D2777"/>
  <c r="C2778"/>
  <c r="D2778"/>
  <c r="C2779"/>
  <c r="D2779"/>
  <c r="C2780"/>
  <c r="D2780"/>
  <c r="C2781"/>
  <c r="D2781"/>
  <c r="C2782"/>
  <c r="D2782"/>
  <c r="C2783"/>
  <c r="D2783"/>
  <c r="C2784"/>
  <c r="D2784"/>
  <c r="C2785"/>
  <c r="D2785"/>
  <c r="C2786"/>
  <c r="D2786"/>
  <c r="C2787"/>
  <c r="D2787"/>
  <c r="C2788"/>
  <c r="D2788"/>
  <c r="C2789"/>
  <c r="D2789"/>
  <c r="C2790"/>
  <c r="D2790"/>
  <c r="C2791"/>
  <c r="D2791"/>
  <c r="C2792"/>
  <c r="D2792"/>
  <c r="C2793"/>
  <c r="D2793"/>
  <c r="C2794"/>
  <c r="D2794"/>
  <c r="C2795"/>
  <c r="D2795"/>
  <c r="C2796"/>
  <c r="D2796"/>
  <c r="C2797"/>
  <c r="D2797"/>
  <c r="C2798"/>
  <c r="D2798"/>
  <c r="C2799"/>
  <c r="D2799"/>
  <c r="C2800"/>
  <c r="D2800"/>
  <c r="C2801"/>
  <c r="D2801"/>
  <c r="C2802"/>
  <c r="D2802"/>
  <c r="C2803"/>
  <c r="D2803"/>
  <c r="C2804"/>
  <c r="D2804"/>
  <c r="C2805"/>
  <c r="D2805"/>
  <c r="C2806"/>
  <c r="D2806"/>
  <c r="C2807"/>
  <c r="D2807"/>
  <c r="C2808"/>
  <c r="D2808"/>
  <c r="C2809"/>
  <c r="D2809"/>
  <c r="C2810"/>
  <c r="D2810"/>
  <c r="C2811"/>
  <c r="D2811"/>
  <c r="C2812"/>
  <c r="D2812"/>
  <c r="C2813"/>
  <c r="D2813"/>
  <c r="C2814"/>
  <c r="D2814"/>
  <c r="C2815"/>
  <c r="D2815"/>
  <c r="C2816"/>
  <c r="D2816"/>
  <c r="C2817"/>
  <c r="D2817"/>
  <c r="C2818"/>
  <c r="D2818"/>
  <c r="C2819"/>
  <c r="D2819"/>
  <c r="C2820"/>
  <c r="D2820"/>
  <c r="C2821"/>
  <c r="D2821"/>
  <c r="C2822"/>
  <c r="D2822"/>
  <c r="C2823"/>
  <c r="D2823"/>
  <c r="C2824"/>
  <c r="D2824"/>
  <c r="C2825"/>
  <c r="D2825"/>
  <c r="C2826"/>
  <c r="D2826"/>
  <c r="C2827"/>
  <c r="D2827"/>
  <c r="C2828"/>
  <c r="D2828"/>
  <c r="C2829"/>
  <c r="D2829"/>
  <c r="C2830"/>
  <c r="D2830"/>
  <c r="C2831"/>
  <c r="D2831"/>
  <c r="C2832"/>
  <c r="D2832"/>
  <c r="C2833"/>
  <c r="D2833"/>
  <c r="C2834"/>
  <c r="D2834"/>
  <c r="C2835"/>
  <c r="D2835"/>
  <c r="C2836"/>
  <c r="D2836"/>
  <c r="C2837"/>
  <c r="D2837"/>
  <c r="C2838"/>
  <c r="D2838"/>
  <c r="C2839"/>
  <c r="D2839"/>
  <c r="C2840"/>
  <c r="D2840"/>
  <c r="C2841"/>
  <c r="D2841"/>
  <c r="C2842"/>
  <c r="D2842"/>
  <c r="C2843"/>
  <c r="D2843"/>
  <c r="C2844"/>
  <c r="D2844"/>
  <c r="C2845"/>
  <c r="D2845"/>
  <c r="C2846"/>
  <c r="D2846"/>
  <c r="C2847"/>
  <c r="D2847"/>
  <c r="C2848"/>
  <c r="D2848"/>
  <c r="C2849"/>
  <c r="D2849"/>
  <c r="C2850"/>
  <c r="D2850"/>
  <c r="C2851"/>
  <c r="D2851"/>
  <c r="C2852"/>
  <c r="D2852"/>
  <c r="C2853"/>
  <c r="D2853"/>
  <c r="C2854"/>
  <c r="D2854"/>
  <c r="C2855"/>
  <c r="D2855"/>
  <c r="C2856"/>
  <c r="D2856"/>
  <c r="C2857"/>
  <c r="D2857"/>
  <c r="C2858"/>
  <c r="D2858"/>
  <c r="C2859"/>
  <c r="D2859"/>
  <c r="C2860"/>
  <c r="D2860"/>
  <c r="C2861"/>
  <c r="D2861"/>
  <c r="C2862"/>
  <c r="D2862"/>
  <c r="C2863"/>
  <c r="D2863"/>
  <c r="C2864"/>
  <c r="D2864"/>
  <c r="C2865"/>
  <c r="D2865"/>
  <c r="C2866"/>
  <c r="D2866"/>
  <c r="C2867"/>
  <c r="D2867"/>
  <c r="C2868"/>
  <c r="D2868"/>
  <c r="C2869"/>
  <c r="D2869"/>
  <c r="C2870"/>
  <c r="D2870"/>
  <c r="C2871"/>
  <c r="D2871"/>
  <c r="C2872"/>
  <c r="D2872"/>
  <c r="C2873"/>
  <c r="D2873"/>
  <c r="C2874"/>
  <c r="D2874"/>
  <c r="C2875"/>
  <c r="D2875"/>
  <c r="C2876"/>
  <c r="D2876"/>
  <c r="C2877"/>
  <c r="D2877"/>
  <c r="C2878"/>
  <c r="D2878"/>
  <c r="C2879"/>
  <c r="D2879"/>
  <c r="C2880"/>
  <c r="D2880"/>
  <c r="C2881"/>
  <c r="D2881"/>
  <c r="C2882"/>
  <c r="D2882"/>
  <c r="C2883"/>
  <c r="D2883"/>
  <c r="C2884"/>
  <c r="D2884"/>
  <c r="C2885"/>
  <c r="D2885"/>
  <c r="C2886"/>
  <c r="D2886"/>
  <c r="C2887"/>
  <c r="D2887"/>
  <c r="C2888"/>
  <c r="D2888"/>
  <c r="C2889"/>
  <c r="D2889"/>
  <c r="C2890"/>
  <c r="D2890"/>
  <c r="C2891"/>
  <c r="D2891"/>
  <c r="C2892"/>
  <c r="D2892"/>
  <c r="C2893"/>
  <c r="D2893"/>
  <c r="C2894"/>
  <c r="D2894"/>
  <c r="C2895"/>
  <c r="D2895"/>
  <c r="C2896"/>
  <c r="D2896"/>
  <c r="C2897"/>
  <c r="D2897"/>
  <c r="C2898"/>
  <c r="D2898"/>
  <c r="C2899"/>
  <c r="D2899"/>
  <c r="C2900"/>
  <c r="D2900"/>
  <c r="C2901"/>
  <c r="D2901"/>
  <c r="C2902"/>
  <c r="D2902"/>
  <c r="C2903"/>
  <c r="D2903"/>
  <c r="C2904"/>
  <c r="D2904"/>
  <c r="C2905"/>
  <c r="D2905"/>
  <c r="C2906"/>
  <c r="D2906"/>
  <c r="C2907"/>
  <c r="D2907"/>
  <c r="C2908"/>
  <c r="D2908"/>
  <c r="C2909"/>
  <c r="D2909"/>
  <c r="C2910"/>
  <c r="D2910"/>
  <c r="C2911"/>
  <c r="D2911"/>
  <c r="C2912"/>
  <c r="D2912"/>
  <c r="C2913"/>
  <c r="D2913"/>
  <c r="C2914"/>
  <c r="D2914"/>
  <c r="C2915"/>
  <c r="D2915"/>
  <c r="C2916"/>
  <c r="D2916"/>
  <c r="C2917"/>
  <c r="D2917"/>
  <c r="C2918"/>
  <c r="D2918"/>
  <c r="C2919"/>
  <c r="D2919"/>
  <c r="C2920"/>
  <c r="D2920"/>
  <c r="C2921"/>
  <c r="D2921"/>
  <c r="C2922"/>
  <c r="D2922"/>
  <c r="C2923"/>
  <c r="D2923"/>
  <c r="C2924"/>
  <c r="D2924"/>
  <c r="C2925"/>
  <c r="D2925"/>
  <c r="C2926"/>
  <c r="D2926"/>
  <c r="C2927"/>
  <c r="D2927"/>
  <c r="C2928"/>
  <c r="D2928"/>
  <c r="C2929"/>
  <c r="D2929"/>
  <c r="C2930"/>
  <c r="D2930"/>
  <c r="C2931"/>
  <c r="D2931"/>
  <c r="C2932"/>
  <c r="D2932"/>
  <c r="C2933"/>
  <c r="D2933"/>
  <c r="C2934"/>
  <c r="D2934"/>
  <c r="C2935"/>
  <c r="D2935"/>
  <c r="C2936"/>
  <c r="D2936"/>
  <c r="C2937"/>
  <c r="D2937"/>
  <c r="C2938"/>
  <c r="D2938"/>
  <c r="C2939"/>
  <c r="D2939"/>
  <c r="C2940"/>
  <c r="D2940"/>
  <c r="C2941"/>
  <c r="D2941"/>
  <c r="C2942"/>
  <c r="D2942"/>
  <c r="C2943"/>
  <c r="D2943"/>
  <c r="C2944"/>
  <c r="D2944"/>
  <c r="C2945"/>
  <c r="D2945"/>
  <c r="C2946"/>
  <c r="D2946"/>
  <c r="C2947"/>
  <c r="D2947"/>
  <c r="C2948"/>
  <c r="D2948"/>
  <c r="C2949"/>
  <c r="D2949"/>
  <c r="C2950"/>
  <c r="D2950"/>
  <c r="C2951"/>
  <c r="D2951"/>
  <c r="C2952"/>
  <c r="D2952"/>
  <c r="C2953"/>
  <c r="D2953"/>
  <c r="C2954"/>
  <c r="D2954"/>
  <c r="C2955"/>
  <c r="D2955"/>
  <c r="C2956"/>
  <c r="D2956"/>
  <c r="C2957"/>
  <c r="D2957"/>
  <c r="C2958"/>
  <c r="D2958"/>
  <c r="C2959"/>
  <c r="D2959"/>
  <c r="C2960"/>
  <c r="D2960"/>
  <c r="C2961"/>
  <c r="D2961"/>
  <c r="C2962"/>
  <c r="D2962"/>
  <c r="C2963"/>
  <c r="D2963"/>
  <c r="C2964"/>
  <c r="D2964"/>
  <c r="C2965"/>
  <c r="D2965"/>
  <c r="C2966"/>
  <c r="D2966"/>
  <c r="C2967"/>
  <c r="D2967"/>
  <c r="C2968"/>
  <c r="D2968"/>
  <c r="C2969"/>
  <c r="D2969"/>
  <c r="C2970"/>
  <c r="D2970"/>
  <c r="C2971"/>
  <c r="D2971"/>
  <c r="C2972"/>
  <c r="D2972"/>
  <c r="C2973"/>
  <c r="D2973"/>
  <c r="C2974"/>
  <c r="D2974"/>
  <c r="C2975"/>
  <c r="D2975"/>
  <c r="C2976"/>
  <c r="D2976"/>
  <c r="C2977"/>
  <c r="D2977"/>
  <c r="C2978"/>
  <c r="D2978"/>
  <c r="C2979"/>
  <c r="D2979"/>
  <c r="C2980"/>
  <c r="D2980"/>
  <c r="C2981"/>
  <c r="D2981"/>
  <c r="C2982"/>
  <c r="D2982"/>
  <c r="C2983"/>
  <c r="D2983"/>
  <c r="C2984"/>
  <c r="D2984"/>
  <c r="C2985"/>
  <c r="D2985"/>
  <c r="C2986"/>
  <c r="D2986"/>
  <c r="C2987"/>
  <c r="D2987"/>
  <c r="C2988"/>
  <c r="D2988"/>
  <c r="C2989"/>
  <c r="D2989"/>
  <c r="C2990"/>
  <c r="D2990"/>
  <c r="C2991"/>
  <c r="D2991"/>
  <c r="C2992"/>
  <c r="D2992"/>
  <c r="C2993"/>
  <c r="D2993"/>
  <c r="C2994"/>
  <c r="D2994"/>
  <c r="C2995"/>
  <c r="D2995"/>
  <c r="C2996"/>
  <c r="D2996"/>
  <c r="C2997"/>
  <c r="D2997"/>
  <c r="C2998"/>
  <c r="D2998"/>
  <c r="C2999"/>
  <c r="D2999"/>
  <c r="C3000"/>
  <c r="D3000"/>
  <c r="C3001"/>
  <c r="D3001"/>
  <c r="C3002"/>
  <c r="D3002"/>
  <c r="C3003"/>
  <c r="D3003"/>
  <c r="C3004"/>
  <c r="D3004"/>
  <c r="C3005"/>
  <c r="D3005"/>
  <c r="C3006"/>
  <c r="D3006"/>
  <c r="C3007"/>
  <c r="D3007"/>
  <c r="C3008"/>
  <c r="D3008"/>
  <c r="C3009"/>
  <c r="D3009"/>
  <c r="C3010"/>
  <c r="D3010"/>
  <c r="C3011"/>
  <c r="D3011"/>
  <c r="C3012"/>
  <c r="D3012"/>
  <c r="C3013"/>
  <c r="D3013"/>
  <c r="C3014"/>
  <c r="D3014"/>
  <c r="C3015"/>
  <c r="D3015"/>
  <c r="C3016"/>
  <c r="D3016"/>
  <c r="C3017"/>
  <c r="D3017"/>
  <c r="C3018"/>
  <c r="D3018"/>
  <c r="C3019"/>
  <c r="D3019"/>
  <c r="C3020"/>
  <c r="D3020"/>
  <c r="C3021"/>
  <c r="D3021"/>
  <c r="C3022"/>
  <c r="D3022"/>
  <c r="C3023"/>
  <c r="D3023"/>
  <c r="C3024"/>
  <c r="D3024"/>
  <c r="C3025"/>
  <c r="D3025"/>
  <c r="C3026"/>
  <c r="D3026"/>
  <c r="C3027"/>
  <c r="D3027"/>
  <c r="C3028"/>
  <c r="D3028"/>
  <c r="C3029"/>
  <c r="D3029"/>
  <c r="C3030"/>
  <c r="D3030"/>
  <c r="C3031"/>
  <c r="D3031"/>
  <c r="C3032"/>
  <c r="D3032"/>
  <c r="C3033"/>
  <c r="D3033"/>
  <c r="C3034"/>
  <c r="D3034"/>
  <c r="C3035"/>
  <c r="D3035"/>
  <c r="C3036"/>
  <c r="D3036"/>
  <c r="C3037"/>
  <c r="D3037"/>
  <c r="C3038"/>
  <c r="D3038"/>
  <c r="C3039"/>
  <c r="D3039"/>
  <c r="C3040"/>
  <c r="D3040"/>
  <c r="C3041"/>
  <c r="D3041"/>
  <c r="C3042"/>
  <c r="D3042"/>
  <c r="C3043"/>
  <c r="D3043"/>
  <c r="C3044"/>
  <c r="D3044"/>
  <c r="C3045"/>
  <c r="D3045"/>
  <c r="C3046"/>
  <c r="D3046"/>
  <c r="C3047"/>
  <c r="D3047"/>
  <c r="C3048"/>
  <c r="D3048"/>
  <c r="C3049"/>
  <c r="D3049"/>
  <c r="C3050"/>
  <c r="D3050"/>
  <c r="C3051"/>
  <c r="D3051"/>
  <c r="C3052"/>
  <c r="D3052"/>
  <c r="C3053"/>
  <c r="D3053"/>
  <c r="C3054"/>
  <c r="D3054"/>
  <c r="C3055"/>
  <c r="D3055"/>
  <c r="C3056"/>
  <c r="D3056"/>
  <c r="C3057"/>
  <c r="D3057"/>
  <c r="C3058"/>
  <c r="D3058"/>
  <c r="C3059"/>
  <c r="D3059"/>
  <c r="C3060"/>
  <c r="D3060"/>
  <c r="C3061"/>
  <c r="D3061"/>
  <c r="C3062"/>
  <c r="D3062"/>
  <c r="C3063"/>
  <c r="D3063"/>
  <c r="C3064"/>
  <c r="D3064"/>
  <c r="C3065"/>
  <c r="D3065"/>
  <c r="C3066"/>
  <c r="D3066"/>
  <c r="C3067"/>
  <c r="D3067"/>
  <c r="C3068"/>
  <c r="D3068"/>
  <c r="C3069"/>
  <c r="D3069"/>
  <c r="C3070"/>
  <c r="D3070"/>
  <c r="C3071"/>
  <c r="D3071"/>
  <c r="C3072"/>
  <c r="D3072"/>
  <c r="C3073"/>
  <c r="D3073"/>
  <c r="C3074"/>
  <c r="D3074"/>
  <c r="C3075"/>
  <c r="D3075"/>
  <c r="C3076"/>
  <c r="D3076"/>
  <c r="C3077"/>
  <c r="D3077"/>
  <c r="C3078"/>
  <c r="D3078"/>
  <c r="C3079"/>
  <c r="D3079"/>
  <c r="C3080"/>
  <c r="D3080"/>
  <c r="C3081"/>
  <c r="D3081"/>
  <c r="C3082"/>
  <c r="D3082"/>
  <c r="C3083"/>
  <c r="D3083"/>
  <c r="C3084"/>
  <c r="D3084"/>
  <c r="C3085"/>
  <c r="D3085"/>
  <c r="C3086"/>
  <c r="D3086"/>
  <c r="C3087"/>
  <c r="D3087"/>
  <c r="C3088"/>
  <c r="D3088"/>
  <c r="C3089"/>
  <c r="D3089"/>
  <c r="C3090"/>
  <c r="D3090"/>
  <c r="C3091"/>
  <c r="D3091"/>
  <c r="C3092"/>
  <c r="D3092"/>
  <c r="C3093"/>
  <c r="D3093"/>
  <c r="C3094"/>
  <c r="D3094"/>
  <c r="C3095"/>
  <c r="D3095"/>
  <c r="C3096"/>
  <c r="D3096"/>
  <c r="C3097"/>
  <c r="D3097"/>
  <c r="C3098"/>
  <c r="D3098"/>
  <c r="C3099"/>
  <c r="D3099"/>
  <c r="C3100"/>
  <c r="D3100"/>
  <c r="C3101"/>
  <c r="D3101"/>
  <c r="C3102"/>
  <c r="D3102"/>
  <c r="C3103"/>
  <c r="D3103"/>
  <c r="C3104"/>
  <c r="D3104"/>
  <c r="C3105"/>
  <c r="D3105"/>
  <c r="C3106"/>
  <c r="D3106"/>
  <c r="C3107"/>
  <c r="D3107"/>
  <c r="C3108"/>
  <c r="D3108"/>
  <c r="C3109"/>
  <c r="D3109"/>
  <c r="C3110"/>
  <c r="D3110"/>
  <c r="C3111"/>
  <c r="D3111"/>
  <c r="C3112"/>
  <c r="D3112"/>
  <c r="C3113"/>
  <c r="D3113"/>
  <c r="C3114"/>
  <c r="D3114"/>
  <c r="C3115"/>
  <c r="D3115"/>
  <c r="C3116"/>
  <c r="D3116"/>
  <c r="C3117"/>
  <c r="D3117"/>
  <c r="C3118"/>
  <c r="D3118"/>
  <c r="C3119"/>
  <c r="D3119"/>
  <c r="C3120"/>
  <c r="D3120"/>
  <c r="C3121"/>
  <c r="D3121"/>
  <c r="C3122"/>
  <c r="D3122"/>
  <c r="C3123"/>
  <c r="D3123"/>
  <c r="C3124"/>
  <c r="D3124"/>
  <c r="C3125"/>
  <c r="D3125"/>
  <c r="C3126"/>
  <c r="D3126"/>
  <c r="C3127"/>
  <c r="D3127"/>
  <c r="C3128"/>
  <c r="D3128"/>
  <c r="C3129"/>
  <c r="D3129"/>
  <c r="C3130"/>
  <c r="D3130"/>
  <c r="C3131"/>
  <c r="D3131"/>
  <c r="C3132"/>
  <c r="D3132"/>
  <c r="C3133"/>
  <c r="D3133"/>
  <c r="C3134"/>
  <c r="D3134"/>
  <c r="C3135"/>
  <c r="D3135"/>
  <c r="C3136"/>
  <c r="D3136"/>
  <c r="C3137"/>
  <c r="D3137"/>
  <c r="C3138"/>
  <c r="D3138"/>
  <c r="C3139"/>
  <c r="D3139"/>
  <c r="C3140"/>
  <c r="D3140"/>
  <c r="C3141"/>
  <c r="D3141"/>
  <c r="C3142"/>
  <c r="D3142"/>
  <c r="C3143"/>
  <c r="D3143"/>
  <c r="C3144"/>
  <c r="D3144"/>
  <c r="C3145"/>
  <c r="D3145"/>
  <c r="C3146"/>
  <c r="D3146"/>
  <c r="C3147"/>
  <c r="D3147"/>
  <c r="C3148"/>
  <c r="D3148"/>
  <c r="C3149"/>
  <c r="D3149"/>
  <c r="C3150"/>
  <c r="D3150"/>
  <c r="C3151"/>
  <c r="D3151"/>
  <c r="C3152"/>
  <c r="D3152"/>
  <c r="C3153"/>
  <c r="D3153"/>
  <c r="C3154"/>
  <c r="D3154"/>
  <c r="C3155"/>
  <c r="D3155"/>
  <c r="C3156"/>
  <c r="D3156"/>
  <c r="C3157"/>
  <c r="D3157"/>
  <c r="C3158"/>
  <c r="D3158"/>
  <c r="C3159"/>
  <c r="D3159"/>
  <c r="C3160"/>
  <c r="D3160"/>
  <c r="C3161"/>
  <c r="D3161"/>
  <c r="C3162"/>
  <c r="D3162"/>
  <c r="C3163"/>
  <c r="D3163"/>
  <c r="C3164"/>
  <c r="D3164"/>
  <c r="C3165"/>
  <c r="D3165"/>
  <c r="C3166"/>
  <c r="D3166"/>
  <c r="C3167"/>
  <c r="D3167"/>
  <c r="C3168"/>
  <c r="D3168"/>
  <c r="C3169"/>
  <c r="D3169"/>
  <c r="C3170"/>
  <c r="D3170"/>
  <c r="C3171"/>
  <c r="D3171"/>
  <c r="C3172"/>
  <c r="D3172"/>
  <c r="C3173"/>
  <c r="D3173"/>
  <c r="C3174"/>
  <c r="D3174"/>
  <c r="C3175"/>
  <c r="D3175"/>
  <c r="C3176"/>
  <c r="D3176"/>
  <c r="C3177"/>
  <c r="D3177"/>
  <c r="C3178"/>
  <c r="D3178"/>
  <c r="C3179"/>
  <c r="D3179"/>
  <c r="C3180"/>
  <c r="D3180"/>
  <c r="C3181"/>
  <c r="D3181"/>
  <c r="C3182"/>
  <c r="D3182"/>
  <c r="C3183"/>
  <c r="D3183"/>
  <c r="C3184"/>
  <c r="D3184"/>
  <c r="C3185"/>
  <c r="D3185"/>
  <c r="C3186"/>
  <c r="D3186"/>
  <c r="C3187"/>
  <c r="D3187"/>
  <c r="C3188"/>
  <c r="D3188"/>
  <c r="C3189"/>
  <c r="D3189"/>
  <c r="C3190"/>
  <c r="D3190"/>
  <c r="C3191"/>
  <c r="D3191"/>
  <c r="C3192"/>
  <c r="D3192"/>
  <c r="C3193"/>
  <c r="D3193"/>
  <c r="C3194"/>
  <c r="D3194"/>
  <c r="C3195"/>
  <c r="D3195"/>
  <c r="C3196"/>
  <c r="D3196"/>
  <c r="C3197"/>
  <c r="D3197"/>
  <c r="C3198"/>
  <c r="D3198"/>
  <c r="C3199"/>
  <c r="D3199"/>
  <c r="C3200"/>
  <c r="D3200"/>
  <c r="C3201"/>
  <c r="D3201"/>
  <c r="C3202"/>
  <c r="D3202"/>
  <c r="C3203"/>
  <c r="D3203"/>
  <c r="C3204"/>
  <c r="D3204"/>
  <c r="C3205"/>
  <c r="D3205"/>
  <c r="C3206"/>
  <c r="D3206"/>
  <c r="C3207"/>
  <c r="D3207"/>
  <c r="C3208"/>
  <c r="D3208"/>
  <c r="C3209"/>
  <c r="D3209"/>
  <c r="C3210"/>
  <c r="D3210"/>
  <c r="C3211"/>
  <c r="D3211"/>
  <c r="C3212"/>
  <c r="D3212"/>
  <c r="C3213"/>
  <c r="D3213"/>
  <c r="C3214"/>
  <c r="D3214"/>
  <c r="C3215"/>
  <c r="D3215"/>
  <c r="C3216"/>
  <c r="D3216"/>
  <c r="C3217"/>
  <c r="D3217"/>
  <c r="C3218"/>
  <c r="D3218"/>
  <c r="C3219"/>
  <c r="D3219"/>
  <c r="C3220"/>
  <c r="D3220"/>
  <c r="C3221"/>
  <c r="D3221"/>
  <c r="C3222"/>
  <c r="D3222"/>
  <c r="C3223"/>
  <c r="D3223"/>
  <c r="C3224"/>
  <c r="D3224"/>
  <c r="C3225"/>
  <c r="D3225"/>
  <c r="C3226"/>
  <c r="D3226"/>
  <c r="C3227"/>
  <c r="D3227"/>
  <c r="C3228"/>
  <c r="D3228"/>
  <c r="C3229"/>
  <c r="D3229"/>
  <c r="C3230"/>
  <c r="D3230"/>
  <c r="C3231"/>
  <c r="D3231"/>
  <c r="C3232"/>
  <c r="D3232"/>
  <c r="C3233"/>
  <c r="D3233"/>
  <c r="C3234"/>
  <c r="D3234"/>
  <c r="C3235"/>
  <c r="D3235"/>
  <c r="C3236"/>
  <c r="D3236"/>
  <c r="C3237"/>
  <c r="D3237"/>
  <c r="C3238"/>
  <c r="D3238"/>
  <c r="C3239"/>
  <c r="D3239"/>
  <c r="C3240"/>
  <c r="D3240"/>
  <c r="C3241"/>
  <c r="D3241"/>
  <c r="C3242"/>
  <c r="D3242"/>
  <c r="C3243"/>
  <c r="D3243"/>
  <c r="C3244"/>
  <c r="D3244"/>
  <c r="C3245"/>
  <c r="D3245"/>
  <c r="C3246"/>
  <c r="D3246"/>
  <c r="C3247"/>
  <c r="D3247"/>
  <c r="C3248"/>
  <c r="D3248"/>
  <c r="C3249"/>
  <c r="D3249"/>
  <c r="C3250"/>
  <c r="D3250"/>
  <c r="C3251"/>
  <c r="D3251"/>
  <c r="C3252"/>
  <c r="D3252"/>
  <c r="C3253"/>
  <c r="D3253"/>
  <c r="C3254"/>
  <c r="D3254"/>
  <c r="C3255"/>
  <c r="D3255"/>
  <c r="C3256"/>
  <c r="D3256"/>
  <c r="C3257"/>
  <c r="D3257"/>
  <c r="C3258"/>
  <c r="D3258"/>
  <c r="C3259"/>
  <c r="D3259"/>
  <c r="C3260"/>
  <c r="D3260"/>
  <c r="C3261"/>
  <c r="D3261"/>
  <c r="C3262"/>
  <c r="D3262"/>
  <c r="C3263"/>
  <c r="D3263"/>
  <c r="C3264"/>
  <c r="D3264"/>
  <c r="C3265"/>
  <c r="D3265"/>
  <c r="C3266"/>
  <c r="D3266"/>
  <c r="C3267"/>
  <c r="D3267"/>
  <c r="C3268"/>
  <c r="D3268"/>
  <c r="C3269"/>
  <c r="D3269"/>
  <c r="C3270"/>
  <c r="D3270"/>
  <c r="C3271"/>
  <c r="D3271"/>
  <c r="C3272"/>
  <c r="D3272"/>
  <c r="C3273"/>
  <c r="D3273"/>
  <c r="C3274"/>
  <c r="D3274"/>
  <c r="C3275"/>
  <c r="D3275"/>
  <c r="C3276"/>
  <c r="D3276"/>
  <c r="C3277"/>
  <c r="D3277"/>
  <c r="C3278"/>
  <c r="D3278"/>
  <c r="C3279"/>
  <c r="D3279"/>
  <c r="C3280"/>
  <c r="D3280"/>
  <c r="C3281"/>
  <c r="D3281"/>
  <c r="C3282"/>
  <c r="D3282"/>
  <c r="C3283"/>
  <c r="D3283"/>
  <c r="C3284"/>
  <c r="D3284"/>
  <c r="C3285"/>
  <c r="D3285"/>
  <c r="C3286"/>
  <c r="D3286"/>
  <c r="C3287"/>
  <c r="D3287"/>
  <c r="C3288"/>
  <c r="D3288"/>
  <c r="C3289"/>
  <c r="D3289"/>
  <c r="C3290"/>
  <c r="D3290"/>
  <c r="C3291"/>
  <c r="D3291"/>
  <c r="C3292"/>
  <c r="D3292"/>
  <c r="C3293"/>
  <c r="D3293"/>
  <c r="C3294"/>
  <c r="D3294"/>
  <c r="C3295"/>
  <c r="D3295"/>
  <c r="C3296"/>
  <c r="D3296"/>
  <c r="C3297"/>
  <c r="D3297"/>
  <c r="C3298"/>
  <c r="D3298"/>
  <c r="C3299"/>
  <c r="D3299"/>
  <c r="C3300"/>
  <c r="D3300"/>
  <c r="C3301"/>
  <c r="D3301"/>
  <c r="C3302"/>
  <c r="D3302"/>
  <c r="C3303"/>
  <c r="D3303"/>
  <c r="C3304"/>
  <c r="D3304"/>
  <c r="C3305"/>
  <c r="D3305"/>
  <c r="C3306"/>
  <c r="D3306"/>
  <c r="C3307"/>
  <c r="D3307"/>
  <c r="C3308"/>
  <c r="D3308"/>
  <c r="C3309"/>
  <c r="D3309"/>
  <c r="C3310"/>
  <c r="D3310"/>
  <c r="C3311"/>
  <c r="D3311"/>
  <c r="C3312"/>
  <c r="D3312"/>
  <c r="C3313"/>
  <c r="D3313"/>
  <c r="C3314"/>
  <c r="D3314"/>
  <c r="C3315"/>
  <c r="D3315"/>
  <c r="C3316"/>
  <c r="D3316"/>
  <c r="C3317"/>
  <c r="D3317"/>
  <c r="C3318"/>
  <c r="D3318"/>
  <c r="C3319"/>
  <c r="D3319"/>
  <c r="C3320"/>
  <c r="D3320"/>
  <c r="C3321"/>
  <c r="D3321"/>
  <c r="C3322"/>
  <c r="D3322"/>
  <c r="C3323"/>
  <c r="D3323"/>
  <c r="C3324"/>
  <c r="D3324"/>
  <c r="C3325"/>
  <c r="D3325"/>
  <c r="C3326"/>
  <c r="D3326"/>
  <c r="C3327"/>
  <c r="D3327"/>
  <c r="C3328"/>
  <c r="D3328"/>
  <c r="C3329"/>
  <c r="D3329"/>
  <c r="C3330"/>
  <c r="D3330"/>
  <c r="C3331"/>
  <c r="D3331"/>
  <c r="C3332"/>
  <c r="D3332"/>
  <c r="C3333"/>
  <c r="D3333"/>
  <c r="C3334"/>
  <c r="D3334"/>
  <c r="C3335"/>
  <c r="D3335"/>
  <c r="C3336"/>
  <c r="D3336"/>
  <c r="C3337"/>
  <c r="D3337"/>
  <c r="C3338"/>
  <c r="D3338"/>
  <c r="C3339"/>
  <c r="D3339"/>
  <c r="C3340"/>
  <c r="D3340"/>
  <c r="C3341"/>
  <c r="D3341"/>
  <c r="C3342"/>
  <c r="D3342"/>
  <c r="C3343"/>
  <c r="D3343"/>
  <c r="C3344"/>
  <c r="D3344"/>
  <c r="C3345"/>
  <c r="D3345"/>
  <c r="C3346"/>
  <c r="D3346"/>
  <c r="C3347"/>
  <c r="D3347"/>
  <c r="C3348"/>
  <c r="D3348"/>
  <c r="C3349"/>
  <c r="D3349"/>
  <c r="C3350"/>
  <c r="D3350"/>
  <c r="C3351"/>
  <c r="D3351"/>
  <c r="C3352"/>
  <c r="D3352"/>
  <c r="C3353"/>
  <c r="D3353"/>
  <c r="C3354"/>
  <c r="D3354"/>
  <c r="C3355"/>
  <c r="D3355"/>
  <c r="C3356"/>
  <c r="D3356"/>
  <c r="C3357"/>
  <c r="D3357"/>
  <c r="C3358"/>
  <c r="D3358"/>
  <c r="C3359"/>
  <c r="D3359"/>
  <c r="C3360"/>
  <c r="D3360"/>
  <c r="C3361"/>
  <c r="D3361"/>
  <c r="C3362"/>
  <c r="D3362"/>
  <c r="C3363"/>
  <c r="D3363"/>
  <c r="C3364"/>
  <c r="D3364"/>
  <c r="C3365"/>
  <c r="D3365"/>
  <c r="C3366"/>
  <c r="D3366"/>
  <c r="C3367"/>
  <c r="D3367"/>
  <c r="C3368"/>
  <c r="D3368"/>
  <c r="C3369"/>
  <c r="D3369"/>
  <c r="C3370"/>
  <c r="D3370"/>
  <c r="C3371"/>
  <c r="D3371"/>
  <c r="C3372"/>
  <c r="D3372"/>
  <c r="C3373"/>
  <c r="D3373"/>
  <c r="C3374"/>
  <c r="D3374"/>
  <c r="C3375"/>
  <c r="D3375"/>
  <c r="C3376"/>
  <c r="D3376"/>
  <c r="C3377"/>
  <c r="D3377"/>
  <c r="C3378"/>
  <c r="D3378"/>
  <c r="C3379"/>
  <c r="D3379"/>
  <c r="C3380"/>
  <c r="D3380"/>
  <c r="C3381"/>
  <c r="D3381"/>
  <c r="C3382"/>
  <c r="D3382"/>
  <c r="C3383"/>
  <c r="D3383"/>
  <c r="C3384"/>
  <c r="D3384"/>
  <c r="C3385"/>
  <c r="D3385"/>
  <c r="C3386"/>
  <c r="D3386"/>
  <c r="C3387"/>
  <c r="D3387"/>
  <c r="C3388"/>
  <c r="D3388"/>
  <c r="C3389"/>
  <c r="D3389"/>
  <c r="C3390"/>
  <c r="D3390"/>
  <c r="C3391"/>
  <c r="D3391"/>
  <c r="C3392"/>
  <c r="D3392"/>
  <c r="C3393"/>
  <c r="D3393"/>
  <c r="C3394"/>
  <c r="D3394"/>
  <c r="C3395"/>
  <c r="D3395"/>
  <c r="C3396"/>
  <c r="D3396"/>
  <c r="C3397"/>
  <c r="D3397"/>
  <c r="C3398"/>
  <c r="D3398"/>
  <c r="C3399"/>
  <c r="D3399"/>
  <c r="C3400"/>
  <c r="D3400"/>
  <c r="C3401"/>
  <c r="D3401"/>
  <c r="C3402"/>
  <c r="D3402"/>
  <c r="C3403"/>
  <c r="D3403"/>
  <c r="C3404"/>
  <c r="D3404"/>
  <c r="C3405"/>
  <c r="D3405"/>
  <c r="C3406"/>
  <c r="D3406"/>
  <c r="C3407"/>
  <c r="D3407"/>
  <c r="C3408"/>
  <c r="D3408"/>
  <c r="C3409"/>
  <c r="D3409"/>
  <c r="C3410"/>
  <c r="D3410"/>
  <c r="C3411"/>
  <c r="D3411"/>
  <c r="C3412"/>
  <c r="D3412"/>
  <c r="C3413"/>
  <c r="D3413"/>
  <c r="C3414"/>
  <c r="D3414"/>
  <c r="C3415"/>
  <c r="D3415"/>
  <c r="C3416"/>
  <c r="D3416"/>
  <c r="C3417"/>
  <c r="D3417"/>
  <c r="C3418"/>
  <c r="D3418"/>
  <c r="C3419"/>
  <c r="D3419"/>
  <c r="C3420"/>
  <c r="D3420"/>
  <c r="C3421"/>
  <c r="D3421"/>
  <c r="C3422"/>
  <c r="D3422"/>
  <c r="C3423"/>
  <c r="D3423"/>
  <c r="C3424"/>
  <c r="D3424"/>
  <c r="C3425"/>
  <c r="D3425"/>
  <c r="C3426"/>
  <c r="D3426"/>
  <c r="C3427"/>
  <c r="D3427"/>
  <c r="C3428"/>
  <c r="D3428"/>
  <c r="C3429"/>
  <c r="D3429"/>
  <c r="C3430"/>
  <c r="D3430"/>
  <c r="C3431"/>
  <c r="D3431"/>
  <c r="C3432"/>
  <c r="D3432"/>
  <c r="C3433"/>
  <c r="D3433"/>
  <c r="C3434"/>
  <c r="D3434"/>
  <c r="C3435"/>
  <c r="D3435"/>
  <c r="C3436"/>
  <c r="D3436"/>
  <c r="C3437"/>
  <c r="D3437"/>
  <c r="C3438"/>
  <c r="D3438"/>
  <c r="C3439"/>
  <c r="D3439"/>
  <c r="C3440"/>
  <c r="D3440"/>
  <c r="C3441"/>
  <c r="D3441"/>
  <c r="C3442"/>
  <c r="D3442"/>
  <c r="C3443"/>
  <c r="D3443"/>
  <c r="C3444"/>
  <c r="D3444"/>
  <c r="C3445"/>
  <c r="D3445"/>
  <c r="C3446"/>
  <c r="D3446"/>
  <c r="C3447"/>
  <c r="D3447"/>
  <c r="C3448"/>
  <c r="D3448"/>
  <c r="C3449"/>
  <c r="D3449"/>
  <c r="C3450"/>
  <c r="D3450"/>
  <c r="C3451"/>
  <c r="D3451"/>
  <c r="C3452"/>
  <c r="D3452"/>
  <c r="C3453"/>
  <c r="D3453"/>
  <c r="C3454"/>
  <c r="D3454"/>
  <c r="C3455"/>
  <c r="D3455"/>
  <c r="C3456"/>
  <c r="D3456"/>
  <c r="C3457"/>
  <c r="D3457"/>
  <c r="C3458"/>
  <c r="D3458"/>
  <c r="C3459"/>
  <c r="D3459"/>
  <c r="C3460"/>
  <c r="D3460"/>
  <c r="C3461"/>
  <c r="D3461"/>
  <c r="C3462"/>
  <c r="D3462"/>
  <c r="C3463"/>
  <c r="D3463"/>
  <c r="C3464"/>
  <c r="D3464"/>
  <c r="C3465"/>
  <c r="D3465"/>
  <c r="C3466"/>
  <c r="D3466"/>
  <c r="C3467"/>
  <c r="D3467"/>
  <c r="C3468"/>
  <c r="D3468"/>
  <c r="C3469"/>
  <c r="D3469"/>
  <c r="C3470"/>
  <c r="D3470"/>
  <c r="C3471"/>
  <c r="D3471"/>
  <c r="C3472"/>
  <c r="D3472"/>
  <c r="C3473"/>
  <c r="D3473"/>
  <c r="C3474"/>
  <c r="D3474"/>
  <c r="C3475"/>
  <c r="D3475"/>
  <c r="C3476"/>
  <c r="D3476"/>
  <c r="C3477"/>
  <c r="D3477"/>
  <c r="C3478"/>
  <c r="D3478"/>
  <c r="C3479"/>
  <c r="D3479"/>
  <c r="C3480"/>
  <c r="D3480"/>
  <c r="C3481"/>
  <c r="D3481"/>
  <c r="C3482"/>
  <c r="D3482"/>
  <c r="C3483"/>
  <c r="D3483"/>
  <c r="C3484"/>
  <c r="D3484"/>
  <c r="C3485"/>
  <c r="D3485"/>
  <c r="C3486"/>
  <c r="D3486"/>
  <c r="C3487"/>
  <c r="D3487"/>
  <c r="C3488"/>
  <c r="D3488"/>
  <c r="C3489"/>
  <c r="D3489"/>
  <c r="C3490"/>
  <c r="D3490"/>
  <c r="C3491"/>
  <c r="D3491"/>
  <c r="C3492"/>
  <c r="D3492"/>
  <c r="C3493"/>
  <c r="D3493"/>
  <c r="C3494"/>
  <c r="D3494"/>
  <c r="C3495"/>
  <c r="D3495"/>
  <c r="C3496"/>
  <c r="D3496"/>
  <c r="C3497"/>
  <c r="D3497"/>
  <c r="C3498"/>
  <c r="D3498"/>
  <c r="C3499"/>
  <c r="D3499"/>
  <c r="C3500"/>
  <c r="D3500"/>
  <c r="C3501"/>
  <c r="D3501"/>
  <c r="C3502"/>
  <c r="D3502"/>
  <c r="C3503"/>
  <c r="D3503"/>
  <c r="C3504"/>
  <c r="D3504"/>
  <c r="C3505"/>
  <c r="D3505"/>
  <c r="C3506"/>
  <c r="D3506"/>
  <c r="C3507"/>
  <c r="D3507"/>
  <c r="C3508"/>
  <c r="D3508"/>
  <c r="C3509"/>
  <c r="D3509"/>
  <c r="C3510"/>
  <c r="D3510"/>
  <c r="C3511"/>
  <c r="D3511"/>
  <c r="C3512"/>
  <c r="D3512"/>
  <c r="C3513"/>
  <c r="D3513"/>
  <c r="C3514"/>
  <c r="D3514"/>
  <c r="C3515"/>
  <c r="D3515"/>
  <c r="C3516"/>
  <c r="D3516"/>
  <c r="C3517"/>
  <c r="D3517"/>
  <c r="C3518"/>
  <c r="D3518"/>
  <c r="C3519"/>
  <c r="D3519"/>
  <c r="C3520"/>
  <c r="D3520"/>
  <c r="C3521"/>
  <c r="D3521"/>
  <c r="C3522"/>
  <c r="D3522"/>
  <c r="C3523"/>
  <c r="D3523"/>
  <c r="C3524"/>
  <c r="D3524"/>
  <c r="C3525"/>
  <c r="D3525"/>
  <c r="C3526"/>
  <c r="D3526"/>
  <c r="C3527"/>
  <c r="D3527"/>
  <c r="C3528"/>
  <c r="D3528"/>
  <c r="C3529"/>
  <c r="D3529"/>
  <c r="C3530"/>
  <c r="D3530"/>
  <c r="C3531"/>
  <c r="D3531"/>
  <c r="C3532"/>
  <c r="D3532"/>
  <c r="C3533"/>
  <c r="D3533"/>
  <c r="C3534"/>
  <c r="D3534"/>
  <c r="C3535"/>
  <c r="D3535"/>
  <c r="C3536"/>
  <c r="D3536"/>
  <c r="C3537"/>
  <c r="D3537"/>
  <c r="C3538"/>
  <c r="D3538"/>
  <c r="C3539"/>
  <c r="D3539"/>
  <c r="C3540"/>
  <c r="D3540"/>
  <c r="C3541"/>
  <c r="D3541"/>
  <c r="C3542"/>
  <c r="D3542"/>
  <c r="C3543"/>
  <c r="D3543"/>
  <c r="C3544"/>
  <c r="D3544"/>
  <c r="C3545"/>
  <c r="D3545"/>
  <c r="C3546"/>
  <c r="D3546"/>
  <c r="C3547"/>
  <c r="D3547"/>
  <c r="C3548"/>
  <c r="D3548"/>
  <c r="C3549"/>
  <c r="D3549"/>
  <c r="C3550"/>
  <c r="D3550"/>
  <c r="C3551"/>
  <c r="D3551"/>
  <c r="C3552"/>
  <c r="D3552"/>
  <c r="C3553"/>
  <c r="D3553"/>
  <c r="C3554"/>
  <c r="D3554"/>
  <c r="C3555"/>
  <c r="D3555"/>
  <c r="C3556"/>
  <c r="D3556"/>
  <c r="C3557"/>
  <c r="D3557"/>
  <c r="C3558"/>
  <c r="D3558"/>
  <c r="C3559"/>
  <c r="D3559"/>
  <c r="C3560"/>
  <c r="D3560"/>
  <c r="C3561"/>
  <c r="D3561"/>
  <c r="C3562"/>
  <c r="D3562"/>
  <c r="C3563"/>
  <c r="D3563"/>
  <c r="C3564"/>
  <c r="D3564"/>
  <c r="C3565"/>
  <c r="D3565"/>
  <c r="C3566"/>
  <c r="D3566"/>
  <c r="C3567"/>
  <c r="D3567"/>
  <c r="C3568"/>
  <c r="D3568"/>
  <c r="C3569"/>
  <c r="D3569"/>
  <c r="C3570"/>
  <c r="D3570"/>
  <c r="C3571"/>
  <c r="D3571"/>
  <c r="C3572"/>
  <c r="D3572"/>
  <c r="C3573"/>
  <c r="D3573"/>
  <c r="C3574"/>
  <c r="D3574"/>
  <c r="C3575"/>
  <c r="D3575"/>
  <c r="C3576"/>
  <c r="D3576"/>
  <c r="C3577"/>
  <c r="D3577"/>
  <c r="C3578"/>
  <c r="D3578"/>
  <c r="C3579"/>
  <c r="D3579"/>
  <c r="C3580"/>
  <c r="D3580"/>
  <c r="C3581"/>
  <c r="D3581"/>
  <c r="C3582"/>
  <c r="D3582"/>
  <c r="C3583"/>
  <c r="D3583"/>
  <c r="C3584"/>
  <c r="D3584"/>
  <c r="C3585"/>
  <c r="D3585"/>
  <c r="C3586"/>
  <c r="D3586"/>
  <c r="C3587"/>
  <c r="D3587"/>
  <c r="C3588"/>
  <c r="D3588"/>
  <c r="C3589"/>
  <c r="D3589"/>
  <c r="C3590"/>
  <c r="D3590"/>
  <c r="C3591"/>
  <c r="D3591"/>
  <c r="C3592"/>
  <c r="D3592"/>
  <c r="C3593"/>
  <c r="D3593"/>
  <c r="C3594"/>
  <c r="D3594"/>
  <c r="C3595"/>
  <c r="D3595"/>
  <c r="C3596"/>
  <c r="D3596"/>
  <c r="C3597"/>
  <c r="D3597"/>
  <c r="C3598"/>
  <c r="D3598"/>
  <c r="C3599"/>
  <c r="D3599"/>
  <c r="C3600"/>
  <c r="D3600"/>
  <c r="C3601"/>
  <c r="D3601"/>
  <c r="C3602"/>
  <c r="D3602"/>
  <c r="C3603"/>
  <c r="D3603"/>
  <c r="C3604"/>
  <c r="D3604"/>
  <c r="C3605"/>
  <c r="D3605"/>
  <c r="C3606"/>
  <c r="D3606"/>
  <c r="C3607"/>
  <c r="D3607"/>
  <c r="C3608"/>
  <c r="D3608"/>
  <c r="C3609"/>
  <c r="D3609"/>
  <c r="C3610"/>
  <c r="D3610"/>
  <c r="C3611"/>
  <c r="D3611"/>
  <c r="C3612"/>
  <c r="D3612"/>
  <c r="C3613"/>
  <c r="D3613"/>
  <c r="C3614"/>
  <c r="D3614"/>
  <c r="C3615"/>
  <c r="D3615"/>
  <c r="C3616"/>
  <c r="D3616"/>
  <c r="C3617"/>
  <c r="D3617"/>
  <c r="C3618"/>
  <c r="D3618"/>
  <c r="C3619"/>
  <c r="D3619"/>
  <c r="C3620"/>
  <c r="D3620"/>
  <c r="C3621"/>
  <c r="D3621"/>
  <c r="C3622"/>
  <c r="D3622"/>
  <c r="C3623"/>
  <c r="D3623"/>
  <c r="C3624"/>
  <c r="D3624"/>
  <c r="C3625"/>
  <c r="D3625"/>
  <c r="C3626"/>
  <c r="D3626"/>
  <c r="C3627"/>
  <c r="D3627"/>
  <c r="C3628"/>
  <c r="D3628"/>
  <c r="C3629"/>
  <c r="D3629"/>
  <c r="C3630"/>
  <c r="D3630"/>
  <c r="C3631"/>
  <c r="D3631"/>
  <c r="C3632"/>
  <c r="D3632"/>
  <c r="C3633"/>
  <c r="D3633"/>
  <c r="C3634"/>
  <c r="D3634"/>
  <c r="C3635"/>
  <c r="D3635"/>
  <c r="C3636"/>
  <c r="D3636"/>
  <c r="C3637"/>
  <c r="D3637"/>
  <c r="C3638"/>
  <c r="D3638"/>
  <c r="C3639"/>
  <c r="D3639"/>
  <c r="C3640"/>
  <c r="D3640"/>
  <c r="C3641"/>
  <c r="D3641"/>
  <c r="C3642"/>
  <c r="D3642"/>
  <c r="C3643"/>
  <c r="D3643"/>
  <c r="C3644"/>
  <c r="D3644"/>
  <c r="C3645"/>
  <c r="D3645"/>
  <c r="C3646"/>
  <c r="D3646"/>
  <c r="C3647"/>
  <c r="D3647"/>
  <c r="C3648"/>
  <c r="D3648"/>
  <c r="C3649"/>
  <c r="D3649"/>
  <c r="C3650"/>
  <c r="D3650"/>
  <c r="C3651"/>
  <c r="D3651"/>
  <c r="C3652"/>
  <c r="D3652"/>
  <c r="C3653"/>
  <c r="D3653"/>
  <c r="C3654"/>
  <c r="D3654"/>
  <c r="C3655"/>
  <c r="D3655"/>
  <c r="C3656"/>
  <c r="D3656"/>
  <c r="C3657"/>
  <c r="D3657"/>
  <c r="C3658"/>
  <c r="D3658"/>
  <c r="C3659"/>
  <c r="D3659"/>
  <c r="C3660"/>
  <c r="D3660"/>
  <c r="C3661"/>
  <c r="D3661"/>
  <c r="C3662"/>
  <c r="D3662"/>
  <c r="C3663"/>
  <c r="D3663"/>
  <c r="C3664"/>
  <c r="D3664"/>
  <c r="C3665"/>
  <c r="D3665"/>
  <c r="C3666"/>
  <c r="D3666"/>
  <c r="C3667"/>
  <c r="D3667"/>
  <c r="C3668"/>
  <c r="D3668"/>
  <c r="C3669"/>
  <c r="D3669"/>
  <c r="C3670"/>
  <c r="D3670"/>
  <c r="C3671"/>
  <c r="D3671"/>
  <c r="C3672"/>
  <c r="D3672"/>
  <c r="C3673"/>
  <c r="D3673"/>
  <c r="C3674"/>
  <c r="D3674"/>
  <c r="C3675"/>
  <c r="D3675"/>
  <c r="C3676"/>
  <c r="D3676"/>
  <c r="C3677"/>
  <c r="D3677"/>
  <c r="C3678"/>
  <c r="D3678"/>
  <c r="C3679"/>
  <c r="D3679"/>
  <c r="C3680"/>
  <c r="D3680"/>
  <c r="C3681"/>
  <c r="D3681"/>
  <c r="C3682"/>
  <c r="D3682"/>
  <c r="C3683"/>
  <c r="D3683"/>
  <c r="C3684"/>
  <c r="D3684"/>
  <c r="C3685"/>
  <c r="D3685"/>
  <c r="C3686"/>
  <c r="D3686"/>
  <c r="C3687"/>
  <c r="D3687"/>
  <c r="C3688"/>
  <c r="D3688"/>
  <c r="C3689"/>
  <c r="D3689"/>
  <c r="C3690"/>
  <c r="D3690"/>
  <c r="C3691"/>
  <c r="D3691"/>
  <c r="C3692"/>
  <c r="D3692"/>
  <c r="C3693"/>
  <c r="D3693"/>
  <c r="C3694"/>
  <c r="D3694"/>
  <c r="C3695"/>
  <c r="D3695"/>
  <c r="C3696"/>
  <c r="D3696"/>
  <c r="C3697"/>
  <c r="D3697"/>
  <c r="C3698"/>
  <c r="D3698"/>
  <c r="C3699"/>
  <c r="D3699"/>
  <c r="C3700"/>
  <c r="D3700"/>
  <c r="C3701"/>
  <c r="D3701"/>
  <c r="C3702"/>
  <c r="D3702"/>
  <c r="C3703"/>
  <c r="D3703"/>
  <c r="C3704"/>
  <c r="D3704"/>
  <c r="C3705"/>
  <c r="D3705"/>
  <c r="C3706"/>
  <c r="D3706"/>
  <c r="C3707"/>
  <c r="D3707"/>
  <c r="C3708"/>
  <c r="D3708"/>
  <c r="C3709"/>
  <c r="D3709"/>
  <c r="C3710"/>
  <c r="D3710"/>
  <c r="C3711"/>
  <c r="D3711"/>
  <c r="C3712"/>
  <c r="D3712"/>
  <c r="C3713"/>
  <c r="D3713"/>
  <c r="C3714"/>
  <c r="D3714"/>
  <c r="C3715"/>
  <c r="D3715"/>
  <c r="C3716"/>
  <c r="D3716"/>
  <c r="C3717"/>
  <c r="D3717"/>
  <c r="C3718"/>
  <c r="D3718"/>
  <c r="C3719"/>
  <c r="D3719"/>
  <c r="C3720"/>
  <c r="D3720"/>
  <c r="C3721"/>
  <c r="D3721"/>
  <c r="C3722"/>
  <c r="D3722"/>
  <c r="C3723"/>
  <c r="D3723"/>
  <c r="C3724"/>
  <c r="D3724"/>
  <c r="C3725"/>
  <c r="D3725"/>
  <c r="C3726"/>
  <c r="D3726"/>
  <c r="C3727"/>
  <c r="D3727"/>
  <c r="C3728"/>
  <c r="D3728"/>
  <c r="C3729"/>
  <c r="D3729"/>
  <c r="C3730"/>
  <c r="D3730"/>
  <c r="C3731"/>
  <c r="D3731"/>
  <c r="C3732"/>
  <c r="D3732"/>
  <c r="C3733"/>
  <c r="D3733"/>
  <c r="C3734"/>
  <c r="D3734"/>
  <c r="C3735"/>
  <c r="D3735"/>
  <c r="C3736"/>
  <c r="D3736"/>
  <c r="C3737"/>
  <c r="D3737"/>
  <c r="C3738"/>
  <c r="D3738"/>
  <c r="C3739"/>
  <c r="D3739"/>
  <c r="C3740"/>
  <c r="D3740"/>
  <c r="C3741"/>
  <c r="D3741"/>
  <c r="C3742"/>
  <c r="D3742"/>
  <c r="C3743"/>
  <c r="D3743"/>
  <c r="C3744"/>
  <c r="D3744"/>
  <c r="C3745"/>
  <c r="D3745"/>
  <c r="C3746"/>
  <c r="D3746"/>
  <c r="C3747"/>
  <c r="D3747"/>
  <c r="C3748"/>
  <c r="D3748"/>
  <c r="C3749"/>
  <c r="D3749"/>
  <c r="C3750"/>
  <c r="D3750"/>
  <c r="C3751"/>
  <c r="D3751"/>
  <c r="C3752"/>
  <c r="D3752"/>
  <c r="C3753"/>
  <c r="D3753"/>
  <c r="C3754"/>
  <c r="D3754"/>
  <c r="C3755"/>
  <c r="D3755"/>
  <c r="C3756"/>
  <c r="D3756"/>
  <c r="C3757"/>
  <c r="D3757"/>
  <c r="C3758"/>
  <c r="D3758"/>
  <c r="C3759"/>
  <c r="D3759"/>
  <c r="C3760"/>
  <c r="D3760"/>
  <c r="C3761"/>
  <c r="D3761"/>
  <c r="C3762"/>
  <c r="D3762"/>
  <c r="C3763"/>
  <c r="D3763"/>
  <c r="C3764"/>
  <c r="D3764"/>
  <c r="C3765"/>
  <c r="D3765"/>
  <c r="C3766"/>
  <c r="D3766"/>
  <c r="C3767"/>
  <c r="D3767"/>
  <c r="C3768"/>
  <c r="D3768"/>
  <c r="C3769"/>
  <c r="D3769"/>
  <c r="C3770"/>
  <c r="D3770"/>
  <c r="C3771"/>
  <c r="D3771"/>
  <c r="C3772"/>
  <c r="D3772"/>
  <c r="C3773"/>
  <c r="D3773"/>
  <c r="C3774"/>
  <c r="D3774"/>
  <c r="C3775"/>
  <c r="D3775"/>
  <c r="C3776"/>
  <c r="D3776"/>
  <c r="C3777"/>
  <c r="D3777"/>
  <c r="C3778"/>
  <c r="D3778"/>
  <c r="C3779"/>
  <c r="D3779"/>
  <c r="C3780"/>
  <c r="D3780"/>
  <c r="C3781"/>
  <c r="D3781"/>
  <c r="C3782"/>
  <c r="D3782"/>
  <c r="C3783"/>
  <c r="D3783"/>
  <c r="C3784"/>
  <c r="D3784"/>
  <c r="C3785"/>
  <c r="D3785"/>
  <c r="C3786"/>
  <c r="D3786"/>
  <c r="C3787"/>
  <c r="D3787"/>
  <c r="C3788"/>
  <c r="D3788"/>
  <c r="C3789"/>
  <c r="D3789"/>
  <c r="C3790"/>
  <c r="D3790"/>
  <c r="C3791"/>
  <c r="D3791"/>
  <c r="C3792"/>
  <c r="D3792"/>
  <c r="C3793"/>
  <c r="D3793"/>
  <c r="C3794"/>
  <c r="D3794"/>
  <c r="C3795"/>
  <c r="D3795"/>
  <c r="C3796"/>
  <c r="D3796"/>
  <c r="C3797"/>
  <c r="D3797"/>
  <c r="C3798"/>
  <c r="D3798"/>
  <c r="C3799"/>
  <c r="D3799"/>
  <c r="C3800"/>
  <c r="D3800"/>
  <c r="C3801"/>
  <c r="D3801"/>
  <c r="C3802"/>
  <c r="D3802"/>
  <c r="C3803"/>
  <c r="D3803"/>
  <c r="C3804"/>
  <c r="D3804"/>
  <c r="C3805"/>
  <c r="D3805"/>
  <c r="C3806"/>
  <c r="D3806"/>
  <c r="C3807"/>
  <c r="D3807"/>
  <c r="C3808"/>
  <c r="D3808"/>
  <c r="C3809"/>
  <c r="D3809"/>
  <c r="C3810"/>
  <c r="D3810"/>
  <c r="C3811"/>
  <c r="D3811"/>
  <c r="C3812"/>
  <c r="D3812"/>
  <c r="C3813"/>
  <c r="D3813"/>
  <c r="C3814"/>
  <c r="D3814"/>
  <c r="C3815"/>
  <c r="D3815"/>
  <c r="C3816"/>
  <c r="D3816"/>
  <c r="C3817"/>
  <c r="D3817"/>
  <c r="C3818"/>
  <c r="D3818"/>
  <c r="C3819"/>
  <c r="D3819"/>
  <c r="C3820"/>
  <c r="D3820"/>
  <c r="C3821"/>
  <c r="D3821"/>
  <c r="C3822"/>
  <c r="D3822"/>
  <c r="C3823"/>
  <c r="D3823"/>
  <c r="C3824"/>
  <c r="D3824"/>
  <c r="C3825"/>
  <c r="D3825"/>
  <c r="C3826"/>
  <c r="D3826"/>
  <c r="C3827"/>
  <c r="D3827"/>
  <c r="C3828"/>
  <c r="D3828"/>
  <c r="C3829"/>
  <c r="D3829"/>
  <c r="C3830"/>
  <c r="D3830"/>
  <c r="C3831"/>
  <c r="D3831"/>
  <c r="C3832"/>
  <c r="D3832"/>
  <c r="C3833"/>
  <c r="D3833"/>
  <c r="C3834"/>
  <c r="D3834"/>
  <c r="C3835"/>
  <c r="D3835"/>
  <c r="C3836"/>
  <c r="D3836"/>
  <c r="C3837"/>
  <c r="D3837"/>
  <c r="C3838"/>
  <c r="D3838"/>
  <c r="C3839"/>
  <c r="D3839"/>
  <c r="C3840"/>
  <c r="D3840"/>
  <c r="C3841"/>
  <c r="D3841"/>
  <c r="C3842"/>
  <c r="D3842"/>
  <c r="C3843"/>
  <c r="D3843"/>
  <c r="C3844"/>
  <c r="D3844"/>
  <c r="C3845"/>
  <c r="D3845"/>
  <c r="C3846"/>
  <c r="D3846"/>
  <c r="C3847"/>
  <c r="D3847"/>
  <c r="C3848"/>
  <c r="D3848"/>
  <c r="C3849"/>
  <c r="D3849"/>
  <c r="C3850"/>
  <c r="D3850"/>
  <c r="C3851"/>
  <c r="D3851"/>
  <c r="C3852"/>
  <c r="D3852"/>
  <c r="C3853"/>
  <c r="D3853"/>
  <c r="C3854"/>
  <c r="D3854"/>
  <c r="C3855"/>
  <c r="D3855"/>
  <c r="C3856"/>
  <c r="D3856"/>
  <c r="C3857"/>
  <c r="D3857"/>
  <c r="C3858"/>
  <c r="D3858"/>
  <c r="C3859"/>
  <c r="D3859"/>
  <c r="C3860"/>
  <c r="D3860"/>
  <c r="C3861"/>
  <c r="D3861"/>
  <c r="C3862"/>
  <c r="D3862"/>
  <c r="C3863"/>
  <c r="D3863"/>
  <c r="C3864"/>
  <c r="D3864"/>
  <c r="C3865"/>
  <c r="D3865"/>
  <c r="C3866"/>
  <c r="D3866"/>
  <c r="C3867"/>
  <c r="D3867"/>
  <c r="C3868"/>
  <c r="D3868"/>
  <c r="C3869"/>
  <c r="D3869"/>
  <c r="C3870"/>
  <c r="D3870"/>
  <c r="C3871"/>
  <c r="D3871"/>
  <c r="C3872"/>
  <c r="D3872"/>
  <c r="C3873"/>
  <c r="D3873"/>
  <c r="C3874"/>
  <c r="D3874"/>
  <c r="C3875"/>
  <c r="D3875"/>
  <c r="C3876"/>
  <c r="D3876"/>
  <c r="C3877"/>
  <c r="D3877"/>
  <c r="C3878"/>
  <c r="D3878"/>
  <c r="C3879"/>
  <c r="D3879"/>
  <c r="C3880"/>
  <c r="D3880"/>
  <c r="C3881"/>
  <c r="D3881"/>
  <c r="C3882"/>
  <c r="D3882"/>
  <c r="C3883"/>
  <c r="D3883"/>
  <c r="C3884"/>
  <c r="D3884"/>
  <c r="C3885"/>
  <c r="D3885"/>
  <c r="C3886"/>
  <c r="D3886"/>
  <c r="C3887"/>
  <c r="D3887"/>
  <c r="C3888"/>
  <c r="D3888"/>
  <c r="C3889"/>
  <c r="D3889"/>
  <c r="C3890"/>
  <c r="D3890"/>
  <c r="C3891"/>
  <c r="D3891"/>
  <c r="C3892"/>
  <c r="D3892"/>
  <c r="C3893"/>
  <c r="D3893"/>
  <c r="C3894"/>
  <c r="D3894"/>
  <c r="C3895"/>
  <c r="D3895"/>
  <c r="C3896"/>
  <c r="D3896"/>
  <c r="C3897"/>
  <c r="D3897"/>
  <c r="C3898"/>
  <c r="D3898"/>
  <c r="C3899"/>
  <c r="D3899"/>
  <c r="C3900"/>
  <c r="D3900"/>
  <c r="C3901"/>
  <c r="D3901"/>
  <c r="C3902"/>
  <c r="D3902"/>
  <c r="C3903"/>
  <c r="D3903"/>
  <c r="C3904"/>
  <c r="D3904"/>
  <c r="C3905"/>
  <c r="D3905"/>
  <c r="C3906"/>
  <c r="D3906"/>
  <c r="C3907"/>
  <c r="D3907"/>
  <c r="C3908"/>
  <c r="D3908"/>
  <c r="C3909"/>
  <c r="D3909"/>
  <c r="C3910"/>
  <c r="D3910"/>
  <c r="C3911"/>
  <c r="D3911"/>
  <c r="C3912"/>
  <c r="D3912"/>
  <c r="C3913"/>
  <c r="D3913"/>
  <c r="C3914"/>
  <c r="D3914"/>
  <c r="C3915"/>
  <c r="D3915"/>
  <c r="C3916"/>
  <c r="D3916"/>
  <c r="C3917"/>
  <c r="D3917"/>
  <c r="C3918"/>
  <c r="D3918"/>
  <c r="C3919"/>
  <c r="D3919"/>
  <c r="C3920"/>
  <c r="D3920"/>
  <c r="C3921"/>
  <c r="D3921"/>
  <c r="C3922"/>
  <c r="D3922"/>
  <c r="C3923"/>
  <c r="D3923"/>
  <c r="C3924"/>
  <c r="D3924"/>
  <c r="C3925"/>
  <c r="D3925"/>
  <c r="C3926"/>
  <c r="D3926"/>
  <c r="C3927"/>
  <c r="D3927"/>
  <c r="C3928"/>
  <c r="D3928"/>
  <c r="C3929"/>
  <c r="D3929"/>
  <c r="C3930"/>
  <c r="D3930"/>
  <c r="C3931"/>
  <c r="D3931"/>
  <c r="C3932"/>
  <c r="D3932"/>
  <c r="C3933"/>
  <c r="D3933"/>
  <c r="C3934"/>
  <c r="D3934"/>
  <c r="C3935"/>
  <c r="D3935"/>
  <c r="C3936"/>
  <c r="D3936"/>
  <c r="C3937"/>
  <c r="D3937"/>
  <c r="C3938"/>
  <c r="D3938"/>
  <c r="C3939"/>
  <c r="D3939"/>
  <c r="C3940"/>
  <c r="D3940"/>
  <c r="C3941"/>
  <c r="D3941"/>
  <c r="C3942"/>
  <c r="D3942"/>
  <c r="C3943"/>
  <c r="D3943"/>
  <c r="C3944"/>
  <c r="D3944"/>
  <c r="C3945"/>
  <c r="D3945"/>
  <c r="C3946"/>
  <c r="D3946"/>
  <c r="C3947"/>
  <c r="D3947"/>
  <c r="C3948"/>
  <c r="D3948"/>
  <c r="C3949"/>
  <c r="D3949"/>
  <c r="C3950"/>
  <c r="D3950"/>
  <c r="C3951"/>
  <c r="D3951"/>
  <c r="C3952"/>
  <c r="D3952"/>
  <c r="C3953"/>
  <c r="D3953"/>
  <c r="C3954"/>
  <c r="D3954"/>
  <c r="C3955"/>
  <c r="D3955"/>
  <c r="C3956"/>
  <c r="D3956"/>
  <c r="C3957"/>
  <c r="D3957"/>
  <c r="C3958"/>
  <c r="D3958"/>
  <c r="C3959"/>
  <c r="D3959"/>
  <c r="C3960"/>
  <c r="D3960"/>
  <c r="C3961"/>
  <c r="D3961"/>
  <c r="C3962"/>
  <c r="D3962"/>
  <c r="C3963"/>
  <c r="D3963"/>
  <c r="C3964"/>
  <c r="D3964"/>
  <c r="C3965"/>
  <c r="D3965"/>
  <c r="C3966"/>
  <c r="D3966"/>
  <c r="C3967"/>
  <c r="D3967"/>
  <c r="C3968"/>
  <c r="D3968"/>
  <c r="C3969"/>
  <c r="D3969"/>
  <c r="C3970"/>
  <c r="D3970"/>
  <c r="C3971"/>
  <c r="D3971"/>
  <c r="C3972"/>
  <c r="D3972"/>
  <c r="C3973"/>
  <c r="D3973"/>
  <c r="C3974"/>
  <c r="D3974"/>
  <c r="C3975"/>
  <c r="D3975"/>
  <c r="C3976"/>
  <c r="D3976"/>
  <c r="C3977"/>
  <c r="D3977"/>
  <c r="C3978"/>
  <c r="D3978"/>
  <c r="C3979"/>
  <c r="D3979"/>
  <c r="C3980"/>
  <c r="D3980"/>
  <c r="C3981"/>
  <c r="D3981"/>
  <c r="C3982"/>
  <c r="D3982"/>
  <c r="C3983"/>
  <c r="D3983"/>
  <c r="C3984"/>
  <c r="D3984"/>
  <c r="C3985"/>
  <c r="D3985"/>
  <c r="C3986"/>
  <c r="D3986"/>
  <c r="C3987"/>
  <c r="D3987"/>
  <c r="C3988"/>
  <c r="D3988"/>
  <c r="C3989"/>
  <c r="D3989"/>
  <c r="C3990"/>
  <c r="D3990"/>
  <c r="C3991"/>
  <c r="D3991"/>
  <c r="C3992"/>
  <c r="D3992"/>
  <c r="C3993"/>
  <c r="D3993"/>
  <c r="C3994"/>
  <c r="D3994"/>
  <c r="C3995"/>
  <c r="D3995"/>
  <c r="C3996"/>
  <c r="D3996"/>
  <c r="C3997"/>
  <c r="D3997"/>
  <c r="C3998"/>
  <c r="D3998"/>
  <c r="C3999"/>
  <c r="D3999"/>
  <c r="C4000"/>
  <c r="D4000"/>
  <c r="C4001"/>
  <c r="D4001"/>
  <c r="C4002"/>
  <c r="D4002"/>
  <c r="C4003"/>
  <c r="D4003"/>
  <c r="C4004"/>
  <c r="D4004"/>
  <c r="C4005"/>
  <c r="D4005"/>
  <c r="C4006"/>
  <c r="D4006"/>
  <c r="C4007"/>
  <c r="D4007"/>
  <c r="C4008"/>
  <c r="D4008"/>
  <c r="C4009"/>
  <c r="D4009"/>
  <c r="C4010"/>
  <c r="D4010"/>
  <c r="C4011"/>
  <c r="D4011"/>
  <c r="C4012"/>
  <c r="D4012"/>
  <c r="C4013"/>
  <c r="D4013"/>
  <c r="C4014"/>
  <c r="D4014"/>
  <c r="C4015"/>
  <c r="D4015"/>
  <c r="C4016"/>
  <c r="D4016"/>
  <c r="C4017"/>
  <c r="D4017"/>
  <c r="C4018"/>
  <c r="D4018"/>
  <c r="C4019"/>
  <c r="D4019"/>
  <c r="C4020"/>
  <c r="D4020"/>
  <c r="C4021"/>
  <c r="D4021"/>
  <c r="C4022"/>
  <c r="D4022"/>
  <c r="C4023"/>
  <c r="D4023"/>
  <c r="C4024"/>
  <c r="D4024"/>
  <c r="C4025"/>
  <c r="D4025"/>
  <c r="C4026"/>
  <c r="D4026"/>
  <c r="C4027"/>
  <c r="D4027"/>
  <c r="C4028"/>
  <c r="D4028"/>
  <c r="C4029"/>
  <c r="D4029"/>
  <c r="C4030"/>
  <c r="D4030"/>
  <c r="C4031"/>
  <c r="D4031"/>
  <c r="C4032"/>
  <c r="D4032"/>
  <c r="C4033"/>
  <c r="D4033"/>
  <c r="C4034"/>
  <c r="D4034"/>
  <c r="C4035"/>
  <c r="D4035"/>
  <c r="C4036"/>
  <c r="D4036"/>
  <c r="C4037"/>
  <c r="D4037"/>
  <c r="C4038"/>
  <c r="D4038"/>
  <c r="C4039"/>
  <c r="D4039"/>
  <c r="C4040"/>
  <c r="D4040"/>
  <c r="C4041"/>
  <c r="D4041"/>
  <c r="C4042"/>
  <c r="D4042"/>
  <c r="C4043"/>
  <c r="D4043"/>
  <c r="C4044"/>
  <c r="D4044"/>
  <c r="C4045"/>
  <c r="D4045"/>
  <c r="C4046"/>
  <c r="D4046"/>
  <c r="C4047"/>
  <c r="D4047"/>
  <c r="C4048"/>
  <c r="D4048"/>
  <c r="C4049"/>
  <c r="D4049"/>
  <c r="C4050"/>
  <c r="D4050"/>
  <c r="C4051"/>
  <c r="D4051"/>
  <c r="C4052"/>
  <c r="D4052"/>
  <c r="C4053"/>
  <c r="D4053"/>
  <c r="C4054"/>
  <c r="D4054"/>
  <c r="C4055"/>
  <c r="D4055"/>
  <c r="C4056"/>
  <c r="D4056"/>
  <c r="C4057"/>
  <c r="D4057"/>
  <c r="C4058"/>
  <c r="D4058"/>
  <c r="C4059"/>
  <c r="D4059"/>
  <c r="C4060"/>
  <c r="D4060"/>
  <c r="C4061"/>
  <c r="D4061"/>
  <c r="C4062"/>
  <c r="D4062"/>
  <c r="C4063"/>
  <c r="D4063"/>
  <c r="C4064"/>
  <c r="D4064"/>
  <c r="C4065"/>
  <c r="D4065"/>
  <c r="C4066"/>
  <c r="D4066"/>
  <c r="C4067"/>
  <c r="D4067"/>
  <c r="C4068"/>
  <c r="D4068"/>
  <c r="C4069"/>
  <c r="D4069"/>
  <c r="C4070"/>
  <c r="D4070"/>
  <c r="C4071"/>
  <c r="D4071"/>
  <c r="C4072"/>
  <c r="D4072"/>
  <c r="C4073"/>
  <c r="D4073"/>
  <c r="C4074"/>
  <c r="D4074"/>
  <c r="C4075"/>
  <c r="D4075"/>
  <c r="C4076"/>
  <c r="D4076"/>
  <c r="C4077"/>
  <c r="D4077"/>
  <c r="C4078"/>
  <c r="D4078"/>
  <c r="C4079"/>
  <c r="D4079"/>
  <c r="C4080"/>
  <c r="D4080"/>
  <c r="C4081"/>
  <c r="D4081"/>
  <c r="C4082"/>
  <c r="D4082"/>
  <c r="C4083"/>
  <c r="D4083"/>
  <c r="C4084"/>
  <c r="D4084"/>
  <c r="C4085"/>
  <c r="D4085"/>
  <c r="C4086"/>
  <c r="D4086"/>
  <c r="C4087"/>
  <c r="D4087"/>
  <c r="C4088"/>
  <c r="D4088"/>
  <c r="C4089"/>
  <c r="D4089"/>
  <c r="C4090"/>
  <c r="D4090"/>
  <c r="C4091"/>
  <c r="D4091"/>
  <c r="C4092"/>
  <c r="D4092"/>
  <c r="C4093"/>
  <c r="D4093"/>
  <c r="C4094"/>
  <c r="D4094"/>
  <c r="C4095"/>
  <c r="D4095"/>
  <c r="C4096"/>
  <c r="D4096"/>
  <c r="C4097"/>
  <c r="D4097"/>
  <c r="C4098"/>
  <c r="D4098"/>
  <c r="C4099"/>
  <c r="D4099"/>
  <c r="C4100"/>
  <c r="D4100"/>
  <c r="C4101"/>
  <c r="D4101"/>
  <c r="C4102"/>
  <c r="D4102"/>
  <c r="C4103"/>
  <c r="D4103"/>
  <c r="C4104"/>
  <c r="D4104"/>
  <c r="C4105"/>
  <c r="D4105"/>
  <c r="C4106"/>
  <c r="D4106"/>
  <c r="C4107"/>
  <c r="D4107"/>
  <c r="C4108"/>
  <c r="D4108"/>
  <c r="C4109"/>
  <c r="D4109"/>
  <c r="C4110"/>
  <c r="D4110"/>
  <c r="C4111"/>
  <c r="D4111"/>
  <c r="C4112"/>
  <c r="D4112"/>
  <c r="C4113"/>
  <c r="D4113"/>
  <c r="C4114"/>
  <c r="D4114"/>
  <c r="C4115"/>
  <c r="D4115"/>
  <c r="C4116"/>
  <c r="D4116"/>
  <c r="C4117"/>
  <c r="D4117"/>
  <c r="C4118"/>
  <c r="D4118"/>
  <c r="C4119"/>
  <c r="D4119"/>
  <c r="C4120"/>
  <c r="D4120"/>
  <c r="C4121"/>
  <c r="D4121"/>
  <c r="C4122"/>
  <c r="D4122"/>
  <c r="C4123"/>
  <c r="D4123"/>
  <c r="C4124"/>
  <c r="D4124"/>
  <c r="C4125"/>
  <c r="D4125"/>
  <c r="C4126"/>
  <c r="D4126"/>
  <c r="C4127"/>
  <c r="D4127"/>
  <c r="C4128"/>
  <c r="D4128"/>
  <c r="C4129"/>
  <c r="D4129"/>
  <c r="C4130"/>
  <c r="D4130"/>
  <c r="C4131"/>
  <c r="D4131"/>
  <c r="C4132"/>
  <c r="D4132"/>
  <c r="C4133"/>
  <c r="D4133"/>
  <c r="C4134"/>
  <c r="D4134"/>
  <c r="C4135"/>
  <c r="D4135"/>
  <c r="C4136"/>
  <c r="D4136"/>
  <c r="C4137"/>
  <c r="D4137"/>
  <c r="C4138"/>
  <c r="D4138"/>
  <c r="C4139"/>
  <c r="D4139"/>
  <c r="C4140"/>
  <c r="D4140"/>
  <c r="C4141"/>
  <c r="D4141"/>
  <c r="C4142"/>
  <c r="D4142"/>
  <c r="C4143"/>
  <c r="D4143"/>
  <c r="C4144"/>
  <c r="D4144"/>
  <c r="C4145"/>
  <c r="D4145"/>
  <c r="C4146"/>
  <c r="D4146"/>
  <c r="C4147"/>
  <c r="D4147"/>
  <c r="C4148"/>
  <c r="D4148"/>
  <c r="C4149"/>
  <c r="D4149"/>
  <c r="C4150"/>
  <c r="D4150"/>
  <c r="C4151"/>
  <c r="D4151"/>
  <c r="C4152"/>
  <c r="D4152"/>
  <c r="C4153"/>
  <c r="D4153"/>
  <c r="C4154"/>
  <c r="D4154"/>
  <c r="C4155"/>
  <c r="D4155"/>
  <c r="C4156"/>
  <c r="D4156"/>
  <c r="C4157"/>
  <c r="D4157"/>
  <c r="C4158"/>
  <c r="D4158"/>
  <c r="C4159"/>
  <c r="D4159"/>
  <c r="C4160"/>
  <c r="D4160"/>
  <c r="C4161"/>
  <c r="D4161"/>
  <c r="C4162"/>
  <c r="D4162"/>
  <c r="C4163"/>
  <c r="D4163"/>
  <c r="C4164"/>
  <c r="D4164"/>
  <c r="C4165"/>
  <c r="D4165"/>
  <c r="C4166"/>
  <c r="D4166"/>
  <c r="C4167"/>
  <c r="D4167"/>
  <c r="C4168"/>
  <c r="D4168"/>
  <c r="C4169"/>
  <c r="D4169"/>
  <c r="C4170"/>
  <c r="D4170"/>
  <c r="C4171"/>
  <c r="D4171"/>
  <c r="C4172"/>
  <c r="D4172"/>
  <c r="C4173"/>
  <c r="D4173"/>
  <c r="C4174"/>
  <c r="D4174"/>
  <c r="C4175"/>
  <c r="D4175"/>
  <c r="C4176"/>
  <c r="D4176"/>
  <c r="C4177"/>
  <c r="D4177"/>
  <c r="C4178"/>
  <c r="D4178"/>
  <c r="C4179"/>
  <c r="D4179"/>
  <c r="C4180"/>
  <c r="D4180"/>
  <c r="C4181"/>
  <c r="D4181"/>
  <c r="C4182"/>
  <c r="D4182"/>
  <c r="C4183"/>
  <c r="D4183"/>
  <c r="C4184"/>
  <c r="D4184"/>
  <c r="C4185"/>
  <c r="D4185"/>
  <c r="C4186"/>
  <c r="D4186"/>
  <c r="C4187"/>
  <c r="D4187"/>
  <c r="C4188"/>
  <c r="D4188"/>
  <c r="C4189"/>
  <c r="D4189"/>
  <c r="C4190"/>
  <c r="D4190"/>
  <c r="C4191"/>
  <c r="D4191"/>
  <c r="C4192"/>
  <c r="D4192"/>
  <c r="C4193"/>
  <c r="D4193"/>
  <c r="C4194"/>
  <c r="D4194"/>
  <c r="C4195"/>
  <c r="D4195"/>
  <c r="C4196"/>
  <c r="D4196"/>
  <c r="C4197"/>
  <c r="D4197"/>
  <c r="C4198"/>
  <c r="D4198"/>
  <c r="C4199"/>
  <c r="D4199"/>
  <c r="C4200"/>
  <c r="D4200"/>
  <c r="C4201"/>
  <c r="D4201"/>
  <c r="C4202"/>
  <c r="D4202"/>
  <c r="C4203"/>
  <c r="D4203"/>
  <c r="C4204"/>
  <c r="D4204"/>
  <c r="C4205"/>
  <c r="D4205"/>
  <c r="C4206"/>
  <c r="D4206"/>
  <c r="C4207"/>
  <c r="D4207"/>
  <c r="C4208"/>
  <c r="D4208"/>
  <c r="C4209"/>
  <c r="D4209"/>
  <c r="C4210"/>
  <c r="D4210"/>
  <c r="C4211"/>
  <c r="D4211"/>
  <c r="C4212"/>
  <c r="D4212"/>
  <c r="C4213"/>
  <c r="D4213"/>
  <c r="C4214"/>
  <c r="D4214"/>
  <c r="C4215"/>
  <c r="D4215"/>
  <c r="C4216"/>
  <c r="D4216"/>
  <c r="C4217"/>
  <c r="D4217"/>
  <c r="C4218"/>
  <c r="D4218"/>
  <c r="C4219"/>
  <c r="D4219"/>
  <c r="C4220"/>
  <c r="D4220"/>
  <c r="C4221"/>
  <c r="D4221"/>
  <c r="C4222"/>
  <c r="D4222"/>
  <c r="C4223"/>
  <c r="D4223"/>
  <c r="C4224"/>
  <c r="D4224"/>
  <c r="C4225"/>
  <c r="D4225"/>
  <c r="C4226"/>
  <c r="D4226"/>
  <c r="C4227"/>
  <c r="D4227"/>
  <c r="C4228"/>
  <c r="D4228"/>
  <c r="C4229"/>
  <c r="D4229"/>
  <c r="C4230"/>
  <c r="D4230"/>
  <c r="C4231"/>
  <c r="D4231"/>
  <c r="C4232"/>
  <c r="D4232"/>
  <c r="C4233"/>
  <c r="D4233"/>
  <c r="C4234"/>
  <c r="D4234"/>
  <c r="C4235"/>
  <c r="D4235"/>
  <c r="C4236"/>
  <c r="D4236"/>
  <c r="C4237"/>
  <c r="D4237"/>
  <c r="C4238"/>
  <c r="D4238"/>
  <c r="C4239"/>
  <c r="D4239"/>
  <c r="C4240"/>
  <c r="D4240"/>
  <c r="C4241"/>
  <c r="D4241"/>
  <c r="C4242"/>
  <c r="D4242"/>
  <c r="C4243"/>
  <c r="D4243"/>
  <c r="C4244"/>
  <c r="D4244"/>
  <c r="C4245"/>
  <c r="D4245"/>
  <c r="C4246"/>
  <c r="D4246"/>
  <c r="C4247"/>
  <c r="D4247"/>
  <c r="C4248"/>
  <c r="D4248"/>
  <c r="C4249"/>
  <c r="D4249"/>
  <c r="C4250"/>
  <c r="D4250"/>
  <c r="C4251"/>
  <c r="D4251"/>
  <c r="C4252"/>
  <c r="D4252"/>
  <c r="C4253"/>
  <c r="D4253"/>
  <c r="C4254"/>
  <c r="D4254"/>
  <c r="C4255"/>
  <c r="D4255"/>
  <c r="C4256"/>
  <c r="D4256"/>
  <c r="C4257"/>
  <c r="D4257"/>
  <c r="C4258"/>
  <c r="D4258"/>
  <c r="C4259"/>
  <c r="D4259"/>
  <c r="C4260"/>
  <c r="D4260"/>
  <c r="C4261"/>
  <c r="D4261"/>
  <c r="C4262"/>
  <c r="D4262"/>
  <c r="C4263"/>
  <c r="D4263"/>
  <c r="C4264"/>
  <c r="D4264"/>
  <c r="C4265"/>
  <c r="D4265"/>
  <c r="C4266"/>
  <c r="D4266"/>
  <c r="C4267"/>
  <c r="D4267"/>
  <c r="C4268"/>
  <c r="D4268"/>
  <c r="C4269"/>
  <c r="D4269"/>
  <c r="C4270"/>
  <c r="D4270"/>
  <c r="C4271"/>
  <c r="D4271"/>
  <c r="C4272"/>
  <c r="D4272"/>
  <c r="C4273"/>
  <c r="D4273"/>
  <c r="C4274"/>
  <c r="D4274"/>
  <c r="C4275"/>
  <c r="D4275"/>
  <c r="C4276"/>
  <c r="D4276"/>
  <c r="C4277"/>
  <c r="D4277"/>
  <c r="C4278"/>
  <c r="D4278"/>
  <c r="C4279"/>
  <c r="D4279"/>
  <c r="C4280"/>
  <c r="D4280"/>
  <c r="C4281"/>
  <c r="D4281"/>
  <c r="C4282"/>
  <c r="D4282"/>
  <c r="C4283"/>
  <c r="D4283"/>
  <c r="C4284"/>
  <c r="D4284"/>
  <c r="C4285"/>
  <c r="D4285"/>
  <c r="C4286"/>
  <c r="D4286"/>
  <c r="C4287"/>
  <c r="D4287"/>
  <c r="C4288"/>
  <c r="D4288"/>
  <c r="C4289"/>
  <c r="D4289"/>
  <c r="C4290"/>
  <c r="D4290"/>
  <c r="C4291"/>
  <c r="D4291"/>
  <c r="C4292"/>
  <c r="D4292"/>
  <c r="C4293"/>
  <c r="D4293"/>
  <c r="C4294"/>
  <c r="D4294"/>
  <c r="C4295"/>
  <c r="D4295"/>
  <c r="C4296"/>
  <c r="D4296"/>
  <c r="C4297"/>
  <c r="D4297"/>
  <c r="C4298"/>
  <c r="D4298"/>
  <c r="C4299"/>
  <c r="D4299"/>
  <c r="C4300"/>
  <c r="D4300"/>
  <c r="C4301"/>
  <c r="D4301"/>
  <c r="C4302"/>
  <c r="D4302"/>
  <c r="C4303"/>
  <c r="D4303"/>
  <c r="C4304"/>
  <c r="D4304"/>
  <c r="C4305"/>
  <c r="D4305"/>
  <c r="C4306"/>
  <c r="D4306"/>
  <c r="C4307"/>
  <c r="D4307"/>
  <c r="C4308"/>
  <c r="D4308"/>
  <c r="C4309"/>
  <c r="D4309"/>
  <c r="C4310"/>
  <c r="D4310"/>
  <c r="C4311"/>
  <c r="D4311"/>
  <c r="C4312"/>
  <c r="D4312"/>
  <c r="C4313"/>
  <c r="D4313"/>
  <c r="C4314"/>
  <c r="D4314"/>
  <c r="C4315"/>
  <c r="D4315"/>
  <c r="C4316"/>
  <c r="D4316"/>
  <c r="C4317"/>
  <c r="D4317"/>
  <c r="C4318"/>
  <c r="D4318"/>
  <c r="C4319"/>
  <c r="D4319"/>
  <c r="C4320"/>
  <c r="D4320"/>
  <c r="C4321"/>
  <c r="D4321"/>
  <c r="C4322"/>
  <c r="D4322"/>
  <c r="C4323"/>
  <c r="D4323"/>
  <c r="C4324"/>
  <c r="D4324"/>
  <c r="C4325"/>
  <c r="D4325"/>
  <c r="C4326"/>
  <c r="D4326"/>
  <c r="C4327"/>
  <c r="D4327"/>
  <c r="C4328"/>
  <c r="D4328"/>
  <c r="C4329"/>
  <c r="D4329"/>
  <c r="C4330"/>
  <c r="D4330"/>
  <c r="C4331"/>
  <c r="D4331"/>
  <c r="C4332"/>
  <c r="D4332"/>
  <c r="C4333"/>
  <c r="D4333"/>
  <c r="C4334"/>
  <c r="D4334"/>
  <c r="C4335"/>
  <c r="D4335"/>
  <c r="C4336"/>
  <c r="D4336"/>
  <c r="C4337"/>
  <c r="D4337"/>
  <c r="C4338"/>
  <c r="D4338"/>
  <c r="C4339"/>
  <c r="D4339"/>
  <c r="C4340"/>
  <c r="D4340"/>
  <c r="C4341"/>
  <c r="D4341"/>
  <c r="C4342"/>
  <c r="D4342"/>
  <c r="C4343"/>
  <c r="D4343"/>
  <c r="C4344"/>
  <c r="D4344"/>
  <c r="C4345"/>
  <c r="D4345"/>
  <c r="C4346"/>
  <c r="D4346"/>
  <c r="C4347"/>
  <c r="D4347"/>
  <c r="C4348"/>
  <c r="D4348"/>
  <c r="C4349"/>
  <c r="D4349"/>
  <c r="C4350"/>
  <c r="D4350"/>
  <c r="C4351"/>
  <c r="D4351"/>
  <c r="C4352"/>
  <c r="D4352"/>
  <c r="C4353"/>
  <c r="D4353"/>
  <c r="C4354"/>
  <c r="D4354"/>
  <c r="C4355"/>
  <c r="D4355"/>
  <c r="C4356"/>
  <c r="D4356"/>
  <c r="C4357"/>
  <c r="D4357"/>
  <c r="C4358"/>
  <c r="D4358"/>
  <c r="C4359"/>
  <c r="D4359"/>
  <c r="C4360"/>
  <c r="D4360"/>
  <c r="C4361"/>
  <c r="D4361"/>
  <c r="C4362"/>
  <c r="D4362"/>
  <c r="C4363"/>
  <c r="D4363"/>
  <c r="C4364"/>
  <c r="D4364"/>
  <c r="C4365"/>
  <c r="D4365"/>
  <c r="C4366"/>
  <c r="D4366"/>
  <c r="C4367"/>
  <c r="D4367"/>
  <c r="C4368"/>
  <c r="D4368"/>
  <c r="C4369"/>
  <c r="D4369"/>
  <c r="C4370"/>
  <c r="D4370"/>
  <c r="C4371"/>
  <c r="D4371"/>
  <c r="C4372"/>
  <c r="D4372"/>
  <c r="C4373"/>
  <c r="D4373"/>
  <c r="C4374"/>
  <c r="D4374"/>
  <c r="C4375"/>
  <c r="D4375"/>
  <c r="C4376"/>
  <c r="D4376"/>
  <c r="C4377"/>
  <c r="D4377"/>
  <c r="C4378"/>
  <c r="D4378"/>
  <c r="C4379"/>
  <c r="D4379"/>
  <c r="C4380"/>
  <c r="D4380"/>
  <c r="C4381"/>
  <c r="D4381"/>
  <c r="C4382"/>
  <c r="D4382"/>
  <c r="C4383"/>
  <c r="D4383"/>
  <c r="C4384"/>
  <c r="D4384"/>
  <c r="C4385"/>
  <c r="D4385"/>
  <c r="C4386"/>
  <c r="D4386"/>
  <c r="C4387"/>
  <c r="D4387"/>
  <c r="C4388"/>
  <c r="D4388"/>
  <c r="C4389"/>
  <c r="D4389"/>
  <c r="C4390"/>
  <c r="D4390"/>
  <c r="C4391"/>
  <c r="D4391"/>
  <c r="C4392"/>
  <c r="D4392"/>
  <c r="C4393"/>
  <c r="D4393"/>
  <c r="C4394"/>
  <c r="D4394"/>
  <c r="C4395"/>
  <c r="D4395"/>
  <c r="C4396"/>
  <c r="D4396"/>
  <c r="C4397"/>
  <c r="D4397"/>
  <c r="C4398"/>
  <c r="D4398"/>
  <c r="C4399"/>
  <c r="D4399"/>
  <c r="C4400"/>
  <c r="D4400"/>
  <c r="C4401"/>
  <c r="D4401"/>
  <c r="C4402"/>
  <c r="D4402"/>
  <c r="C4403"/>
  <c r="D4403"/>
  <c r="C4404"/>
  <c r="D4404"/>
  <c r="C4405"/>
  <c r="D4405"/>
  <c r="C4406"/>
  <c r="D4406"/>
  <c r="C4407"/>
  <c r="D4407"/>
  <c r="C4408"/>
  <c r="D4408"/>
  <c r="C4409"/>
  <c r="D4409"/>
  <c r="C4410"/>
  <c r="D4410"/>
  <c r="C4411"/>
  <c r="D4411"/>
  <c r="C4412"/>
  <c r="D4412"/>
  <c r="C4413"/>
  <c r="D4413"/>
  <c r="C4414"/>
  <c r="D4414"/>
  <c r="C4415"/>
  <c r="D4415"/>
  <c r="C4416"/>
  <c r="D4416"/>
  <c r="C4417"/>
  <c r="D4417"/>
  <c r="C4418"/>
  <c r="D4418"/>
  <c r="C4419"/>
  <c r="D4419"/>
  <c r="C4420"/>
  <c r="D4420"/>
  <c r="C4421"/>
  <c r="D4421"/>
  <c r="C4422"/>
  <c r="D4422"/>
  <c r="C4423"/>
  <c r="D4423"/>
  <c r="C4424"/>
  <c r="D4424"/>
  <c r="C4425"/>
  <c r="D4425"/>
  <c r="C4426"/>
  <c r="D4426"/>
  <c r="C4427"/>
  <c r="D4427"/>
  <c r="C4428"/>
  <c r="D4428"/>
  <c r="C4429"/>
  <c r="D4429"/>
  <c r="C4430"/>
  <c r="D4430"/>
  <c r="C4431"/>
  <c r="D4431"/>
  <c r="C4432"/>
  <c r="D4432"/>
  <c r="C4433"/>
  <c r="D4433"/>
  <c r="C4434"/>
  <c r="D4434"/>
  <c r="C4435"/>
  <c r="D4435"/>
  <c r="C4436"/>
  <c r="D4436"/>
  <c r="C4437"/>
  <c r="D4437"/>
  <c r="C4438"/>
  <c r="D4438"/>
  <c r="C4439"/>
  <c r="D4439"/>
  <c r="C4440"/>
  <c r="D4440"/>
  <c r="C4441"/>
  <c r="D4441"/>
  <c r="C4442"/>
  <c r="D4442"/>
  <c r="C4443"/>
  <c r="D4443"/>
  <c r="C4444"/>
  <c r="D4444"/>
  <c r="C4445"/>
  <c r="D4445"/>
  <c r="C4446"/>
  <c r="D4446"/>
  <c r="C4447"/>
  <c r="D4447"/>
  <c r="C4448"/>
  <c r="D4448"/>
  <c r="C4449"/>
  <c r="D4449"/>
  <c r="C4450"/>
  <c r="D4450"/>
  <c r="C4451"/>
  <c r="D4451"/>
  <c r="C4452"/>
  <c r="D4452"/>
  <c r="C4453"/>
  <c r="D4453"/>
  <c r="C4454"/>
  <c r="D4454"/>
  <c r="C4455"/>
  <c r="D4455"/>
  <c r="C4456"/>
  <c r="D4456"/>
  <c r="C4457"/>
  <c r="D4457"/>
  <c r="C4458"/>
  <c r="D4458"/>
  <c r="C4459"/>
  <c r="D4459"/>
  <c r="C4460"/>
  <c r="D4460"/>
  <c r="C4461"/>
  <c r="D4461"/>
  <c r="C4462"/>
  <c r="D4462"/>
  <c r="C4463"/>
  <c r="D4463"/>
  <c r="C4464"/>
  <c r="D4464"/>
  <c r="C4465"/>
  <c r="D4465"/>
  <c r="C4466"/>
  <c r="D4466"/>
  <c r="C4467"/>
  <c r="D4467"/>
  <c r="C4468"/>
  <c r="D4468"/>
  <c r="C4469"/>
  <c r="D4469"/>
  <c r="C4470"/>
  <c r="D4470"/>
  <c r="C4471"/>
  <c r="D4471"/>
  <c r="C4472"/>
  <c r="D4472"/>
  <c r="C4473"/>
  <c r="D4473"/>
  <c r="C4474"/>
  <c r="D4474"/>
  <c r="C4475"/>
  <c r="D4475"/>
  <c r="C4476"/>
  <c r="D4476"/>
  <c r="C4477"/>
  <c r="D4477"/>
  <c r="C4478"/>
  <c r="D4478"/>
  <c r="C4479"/>
  <c r="D4479"/>
  <c r="C4480"/>
  <c r="D4480"/>
  <c r="C4481"/>
  <c r="D4481"/>
  <c r="C4482"/>
  <c r="D4482"/>
  <c r="C4483"/>
  <c r="D4483"/>
  <c r="C4484"/>
  <c r="D4484"/>
  <c r="C4485"/>
  <c r="D4485"/>
  <c r="C4486"/>
  <c r="D4486"/>
  <c r="C4487"/>
  <c r="D4487"/>
  <c r="C4488"/>
  <c r="D4488"/>
  <c r="C4489"/>
  <c r="D4489"/>
  <c r="C4490"/>
  <c r="D4490"/>
  <c r="C4491"/>
  <c r="D4491"/>
  <c r="C4492"/>
  <c r="D4492"/>
  <c r="C4493"/>
  <c r="D4493"/>
  <c r="C4494"/>
  <c r="D4494"/>
  <c r="C4495"/>
  <c r="D4495"/>
  <c r="C4496"/>
  <c r="D4496"/>
  <c r="C4497"/>
  <c r="D4497"/>
  <c r="C4498"/>
  <c r="D4498"/>
  <c r="C4499"/>
  <c r="D4499"/>
  <c r="C4500"/>
  <c r="D4500"/>
  <c r="C4501"/>
  <c r="D4501"/>
  <c r="C4502"/>
  <c r="D4502"/>
  <c r="C4503"/>
  <c r="D4503"/>
  <c r="C4504"/>
  <c r="D4504"/>
  <c r="C4505"/>
  <c r="D4505"/>
  <c r="C4506"/>
  <c r="D4506"/>
  <c r="C4507"/>
  <c r="D4507"/>
  <c r="C4508"/>
  <c r="D4508"/>
  <c r="C4509"/>
  <c r="D4509"/>
  <c r="C4510"/>
  <c r="D4510"/>
  <c r="C4511"/>
  <c r="D4511"/>
  <c r="C4512"/>
  <c r="D4512"/>
  <c r="C4513"/>
  <c r="D4513"/>
  <c r="C4514"/>
  <c r="D4514"/>
  <c r="C4515"/>
  <c r="D4515"/>
  <c r="C4516"/>
  <c r="D4516"/>
  <c r="C4517"/>
  <c r="D4517"/>
  <c r="C4518"/>
  <c r="D4518"/>
  <c r="C4519"/>
  <c r="D4519"/>
  <c r="C4520"/>
  <c r="D4520"/>
  <c r="C4521"/>
  <c r="D4521"/>
  <c r="C4522"/>
  <c r="D4522"/>
  <c r="C4523"/>
  <c r="D4523"/>
  <c r="C4524"/>
  <c r="D4524"/>
  <c r="C4525"/>
  <c r="D4525"/>
  <c r="C4526"/>
  <c r="D4526"/>
  <c r="C4527"/>
  <c r="D4527"/>
  <c r="C4528"/>
  <c r="D4528"/>
  <c r="C4529"/>
  <c r="D4529"/>
  <c r="C4530"/>
  <c r="D4530"/>
  <c r="C4531"/>
  <c r="D4531"/>
  <c r="C4532"/>
  <c r="D4532"/>
  <c r="C4533"/>
  <c r="D4533"/>
  <c r="C4534"/>
  <c r="D4534"/>
  <c r="C4535"/>
  <c r="D4535"/>
  <c r="C4536"/>
  <c r="D4536"/>
  <c r="C4537"/>
  <c r="D4537"/>
  <c r="C4538"/>
  <c r="D4538"/>
  <c r="C4539"/>
  <c r="D4539"/>
  <c r="C4540"/>
  <c r="D4540"/>
  <c r="C4541"/>
  <c r="D4541"/>
  <c r="C4542"/>
  <c r="D4542"/>
  <c r="C4543"/>
  <c r="D4543"/>
  <c r="C4544"/>
  <c r="D4544"/>
  <c r="C4545"/>
  <c r="D4545"/>
  <c r="C4546"/>
  <c r="D4546"/>
  <c r="C4547"/>
  <c r="D4547"/>
  <c r="C4548"/>
  <c r="D4548"/>
  <c r="C4549"/>
  <c r="D4549"/>
  <c r="C4550"/>
  <c r="D4550"/>
  <c r="C4551"/>
  <c r="D4551"/>
  <c r="C4552"/>
  <c r="D4552"/>
  <c r="C4553"/>
  <c r="D4553"/>
  <c r="C4554"/>
  <c r="D4554"/>
  <c r="C4555"/>
  <c r="D4555"/>
  <c r="C4556"/>
  <c r="D4556"/>
  <c r="C4557"/>
  <c r="D4557"/>
  <c r="C4558"/>
  <c r="D4558"/>
  <c r="C4559"/>
  <c r="D4559"/>
  <c r="C4560"/>
  <c r="D4560"/>
  <c r="C4561"/>
  <c r="D4561"/>
  <c r="C4562"/>
  <c r="D4562"/>
  <c r="C4563"/>
  <c r="D4563"/>
  <c r="C4564"/>
  <c r="D4564"/>
  <c r="C4565"/>
  <c r="D4565"/>
  <c r="C4566"/>
  <c r="D4566"/>
  <c r="C4567"/>
  <c r="D4567"/>
  <c r="C4568"/>
  <c r="D4568"/>
  <c r="C4569"/>
  <c r="D4569"/>
  <c r="C4570"/>
  <c r="D4570"/>
  <c r="C4571"/>
  <c r="D4571"/>
  <c r="C4572"/>
  <c r="D4572"/>
  <c r="C4573"/>
  <c r="D4573"/>
  <c r="C4574"/>
  <c r="D4574"/>
  <c r="C4575"/>
  <c r="D4575"/>
  <c r="C4576"/>
  <c r="D4576"/>
  <c r="C4577"/>
  <c r="D4577"/>
  <c r="C4578"/>
  <c r="D4578"/>
  <c r="C4579"/>
  <c r="D4579"/>
  <c r="C4580"/>
  <c r="D4580"/>
  <c r="C4581"/>
  <c r="D4581"/>
  <c r="C4582"/>
  <c r="D4582"/>
  <c r="C4583"/>
  <c r="D4583"/>
  <c r="C4584"/>
  <c r="D4584"/>
  <c r="C4585"/>
  <c r="D4585"/>
  <c r="C4586"/>
  <c r="D4586"/>
  <c r="C4587"/>
  <c r="D4587"/>
  <c r="C4588"/>
  <c r="D4588"/>
  <c r="C4589"/>
  <c r="D4589"/>
  <c r="C4590"/>
  <c r="D4590"/>
  <c r="C4591"/>
  <c r="D4591"/>
  <c r="C4592"/>
  <c r="D4592"/>
  <c r="C4593"/>
  <c r="D4593"/>
  <c r="C4594"/>
  <c r="D4594"/>
  <c r="C4595"/>
  <c r="D4595"/>
  <c r="C4596"/>
  <c r="D4596"/>
  <c r="C4597"/>
  <c r="D4597"/>
  <c r="C4598"/>
  <c r="D4598"/>
  <c r="C4599"/>
  <c r="D4599"/>
  <c r="C4600"/>
  <c r="D4600"/>
  <c r="C4601"/>
  <c r="D4601"/>
  <c r="C4602"/>
  <c r="D4602"/>
  <c r="C4603"/>
  <c r="D4603"/>
  <c r="C4604"/>
  <c r="D4604"/>
  <c r="C4605"/>
  <c r="D4605"/>
  <c r="C4606"/>
  <c r="D4606"/>
  <c r="C4607"/>
  <c r="D4607"/>
  <c r="C4608"/>
  <c r="D4608"/>
  <c r="C4609"/>
  <c r="D4609"/>
  <c r="C4610"/>
  <c r="D4610"/>
  <c r="C4611"/>
  <c r="D4611"/>
  <c r="C4612"/>
  <c r="D4612"/>
  <c r="C4613"/>
  <c r="D4613"/>
  <c r="C4614"/>
  <c r="D4614"/>
  <c r="C4615"/>
  <c r="D4615"/>
  <c r="C4616"/>
  <c r="D4616"/>
  <c r="C4617"/>
  <c r="D4617"/>
  <c r="C4618"/>
  <c r="D4618"/>
  <c r="C4619"/>
  <c r="D4619"/>
  <c r="C4620"/>
  <c r="D4620"/>
  <c r="C4621"/>
  <c r="D4621"/>
  <c r="C4622"/>
  <c r="D4622"/>
  <c r="C4623"/>
  <c r="D4623"/>
  <c r="C4624"/>
  <c r="D4624"/>
  <c r="C4625"/>
  <c r="D4625"/>
  <c r="C4626"/>
  <c r="D4626"/>
  <c r="C4627"/>
  <c r="D4627"/>
  <c r="C4628"/>
  <c r="D4628"/>
  <c r="C4629"/>
  <c r="D4629"/>
  <c r="C4630"/>
  <c r="D4630"/>
  <c r="C4631"/>
  <c r="D4631"/>
  <c r="C4632"/>
  <c r="D4632"/>
  <c r="C4633"/>
  <c r="D4633"/>
  <c r="C4634"/>
  <c r="D4634"/>
  <c r="C4635"/>
  <c r="D4635"/>
  <c r="C4636"/>
  <c r="D4636"/>
  <c r="C4637"/>
  <c r="D4637"/>
  <c r="C4638"/>
  <c r="D4638"/>
  <c r="C4639"/>
  <c r="D4639"/>
  <c r="C4640"/>
  <c r="D4640"/>
  <c r="C4641"/>
  <c r="D4641"/>
  <c r="C4642"/>
  <c r="D4642"/>
  <c r="C4643"/>
  <c r="D4643"/>
  <c r="C4644"/>
  <c r="D4644"/>
  <c r="C4645"/>
  <c r="D4645"/>
  <c r="C4646"/>
  <c r="D4646"/>
  <c r="C4647"/>
  <c r="D4647"/>
  <c r="C4648"/>
  <c r="D4648"/>
  <c r="C4649"/>
  <c r="D4649"/>
  <c r="C4650"/>
  <c r="D4650"/>
  <c r="C4651"/>
  <c r="D4651"/>
  <c r="C4652"/>
  <c r="D4652"/>
  <c r="C4653"/>
  <c r="D4653"/>
  <c r="C4654"/>
  <c r="D4654"/>
  <c r="C4655"/>
  <c r="D4655"/>
  <c r="C4656"/>
  <c r="D4656"/>
  <c r="C4657"/>
  <c r="D4657"/>
  <c r="C4658"/>
  <c r="D4658"/>
  <c r="C4659"/>
  <c r="D4659"/>
  <c r="C4660"/>
  <c r="D4660"/>
  <c r="C4661"/>
  <c r="D4661"/>
  <c r="C4662"/>
  <c r="D4662"/>
  <c r="C4663"/>
  <c r="D4663"/>
  <c r="C4664"/>
  <c r="D4664"/>
  <c r="C4665"/>
  <c r="D4665"/>
  <c r="C4666"/>
  <c r="D4666"/>
  <c r="C4667"/>
  <c r="D4667"/>
  <c r="C4668"/>
  <c r="D4668"/>
  <c r="C4669"/>
  <c r="D4669"/>
  <c r="C4670"/>
  <c r="D4670"/>
  <c r="C4671"/>
  <c r="D4671"/>
  <c r="C4672"/>
  <c r="D4672"/>
  <c r="C4673"/>
  <c r="D4673"/>
  <c r="C4674"/>
  <c r="D4674"/>
  <c r="C4675"/>
  <c r="D4675"/>
  <c r="C4676"/>
  <c r="D4676"/>
  <c r="C4677"/>
  <c r="D4677"/>
  <c r="C4678"/>
  <c r="D4678"/>
  <c r="C4679"/>
  <c r="D4679"/>
  <c r="C4680"/>
  <c r="D4680"/>
  <c r="C4681"/>
  <c r="D4681"/>
  <c r="C4682"/>
  <c r="D4682"/>
  <c r="C4683"/>
  <c r="D4683"/>
  <c r="C4684"/>
  <c r="D4684"/>
  <c r="C4685"/>
  <c r="D4685"/>
  <c r="C4686"/>
  <c r="D4686"/>
  <c r="C4687"/>
  <c r="D4687"/>
  <c r="C4688"/>
  <c r="D4688"/>
  <c r="C4689"/>
  <c r="D4689"/>
  <c r="C4690"/>
  <c r="D4690"/>
  <c r="C4691"/>
  <c r="D4691"/>
  <c r="C4692"/>
  <c r="D4692"/>
  <c r="C4693"/>
  <c r="D4693"/>
  <c r="C4694"/>
  <c r="D4694"/>
  <c r="C4695"/>
  <c r="D4695"/>
  <c r="C4696"/>
  <c r="D4696"/>
  <c r="C4697"/>
  <c r="D4697"/>
  <c r="C4698"/>
  <c r="D4698"/>
  <c r="C4699"/>
  <c r="D4699"/>
  <c r="C4700"/>
  <c r="D4700"/>
  <c r="C4701"/>
  <c r="D4701"/>
  <c r="C4702"/>
  <c r="D4702"/>
  <c r="C4703"/>
  <c r="D4703"/>
  <c r="C4704"/>
  <c r="D4704"/>
  <c r="C4705"/>
  <c r="D4705"/>
  <c r="C4706"/>
  <c r="D4706"/>
  <c r="C4707"/>
  <c r="D4707"/>
  <c r="C4708"/>
  <c r="D4708"/>
  <c r="C4709"/>
  <c r="D4709"/>
  <c r="C4710"/>
  <c r="D4710"/>
  <c r="C4711"/>
  <c r="D4711"/>
  <c r="C4712"/>
  <c r="D4712"/>
  <c r="C4713"/>
  <c r="D4713"/>
  <c r="C4714"/>
  <c r="D4714"/>
  <c r="C4715"/>
  <c r="D4715"/>
  <c r="C4716"/>
  <c r="D4716"/>
  <c r="C4717"/>
  <c r="D4717"/>
  <c r="C4718"/>
  <c r="D4718"/>
  <c r="C4719"/>
  <c r="D4719"/>
  <c r="C4720"/>
  <c r="D4720"/>
  <c r="C4721"/>
  <c r="D4721"/>
  <c r="C4722"/>
  <c r="D4722"/>
  <c r="C4723"/>
  <c r="D4723"/>
  <c r="C4724"/>
  <c r="D4724"/>
  <c r="C4725"/>
  <c r="D4725"/>
  <c r="C4726"/>
  <c r="D4726"/>
  <c r="C4727"/>
  <c r="D4727"/>
  <c r="C4728"/>
  <c r="D4728"/>
  <c r="C4729"/>
  <c r="D4729"/>
  <c r="C4730"/>
  <c r="D4730"/>
  <c r="C4731"/>
  <c r="D4731"/>
  <c r="C4732"/>
  <c r="D4732"/>
  <c r="C4733"/>
  <c r="D4733"/>
  <c r="C4734"/>
  <c r="D4734"/>
  <c r="C4735"/>
  <c r="D4735"/>
  <c r="C4736"/>
  <c r="D4736"/>
  <c r="C4737"/>
  <c r="D4737"/>
  <c r="C4738"/>
  <c r="D4738"/>
  <c r="C4739"/>
  <c r="D4739"/>
  <c r="C4740"/>
  <c r="D4740"/>
  <c r="C4741"/>
  <c r="D4741"/>
  <c r="C4742"/>
  <c r="D4742"/>
  <c r="C4743"/>
  <c r="D4743"/>
  <c r="C4744"/>
  <c r="D4744"/>
  <c r="C4745"/>
  <c r="D4745"/>
  <c r="C4746"/>
  <c r="D4746"/>
  <c r="C4747"/>
  <c r="D4747"/>
  <c r="C4748"/>
  <c r="D4748"/>
  <c r="C4749"/>
  <c r="D4749"/>
  <c r="C4750"/>
  <c r="D4750"/>
  <c r="C4751"/>
  <c r="D4751"/>
  <c r="C4752"/>
  <c r="D4752"/>
  <c r="C4753"/>
  <c r="D4753"/>
  <c r="C4754"/>
  <c r="D4754"/>
  <c r="C4755"/>
  <c r="D4755"/>
  <c r="C4756"/>
  <c r="D4756"/>
  <c r="C4757"/>
  <c r="D4757"/>
  <c r="C4758"/>
  <c r="D4758"/>
  <c r="C4759"/>
  <c r="D4759"/>
  <c r="C4760"/>
  <c r="D4760"/>
  <c r="C4761"/>
  <c r="D4761"/>
  <c r="C4762"/>
  <c r="D4762"/>
  <c r="C4763"/>
  <c r="D4763"/>
  <c r="C4764"/>
  <c r="D4764"/>
  <c r="C4765"/>
  <c r="D4765"/>
  <c r="C4766"/>
  <c r="D4766"/>
  <c r="C4767"/>
  <c r="D4767"/>
  <c r="C4768"/>
  <c r="D4768"/>
  <c r="C4769"/>
  <c r="D4769"/>
  <c r="C4770"/>
  <c r="D4770"/>
  <c r="C4771"/>
  <c r="D4771"/>
</calcChain>
</file>

<file path=xl/sharedStrings.xml><?xml version="1.0" encoding="utf-8"?>
<sst xmlns="http://schemas.openxmlformats.org/spreadsheetml/2006/main" count="4" uniqueCount="4">
  <si>
    <t>Invalid</t>
  </si>
  <si>
    <t>Valid</t>
  </si>
  <si>
    <t>Invalid (log10)</t>
  </si>
  <si>
    <t>Valid (log10)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</si>
</sst>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lineChart>
        <c:grouping val="standard"/>
        <c:ser>
          <c:idx val="0"/>
          <c:order val="0"/>
          <c:tx>
            <c:strRef>
              <c:f>stat.1800!$C$1</c:f>
              <c:strCache>
                <c:ptCount val="1"/>
                <c:pt idx="0">
                  <c:v>Invalid (log10)</c:v>
                </c:pt>
              </c:strCache>
            </c:strRef>
          </c:tx>
          <c:marker>
            <c:symbol val="none"/>
          </c:marker>
          <c:val>
            <c:numRef>
              <c:f>stat.1800!$C$2:$C$4771</c:f>
              <c:numCache>
                <c:formatCode>General</c:formatCode>
                <c:ptCount val="4770"/>
                <c:pt idx="0">
                  <c:v>2.5303406987160604E-2</c:v>
                </c:pt>
                <c:pt idx="1">
                  <c:v>1.9114212478073298E-2</c:v>
                </c:pt>
                <c:pt idx="2">
                  <c:v>2.0387803638336463E-2</c:v>
                </c:pt>
                <c:pt idx="3">
                  <c:v>2.3136357818562631E-2</c:v>
                </c:pt>
                <c:pt idx="4">
                  <c:v>2.2243148196035945E-2</c:v>
                </c:pt>
                <c:pt idx="5">
                  <c:v>1.284692243484236E-2</c:v>
                </c:pt>
                <c:pt idx="6">
                  <c:v>4.620117211833627E-3</c:v>
                </c:pt>
                <c:pt idx="7">
                  <c:v>1.8581508974550607E-2</c:v>
                </c:pt>
                <c:pt idx="8">
                  <c:v>1.9717237270573375E-2</c:v>
                </c:pt>
                <c:pt idx="9">
                  <c:v>2.0664519850811205E-2</c:v>
                </c:pt>
                <c:pt idx="10">
                  <c:v>1.777017930771653E-2</c:v>
                </c:pt>
                <c:pt idx="11">
                  <c:v>1.7014129694942204E-2</c:v>
                </c:pt>
                <c:pt idx="12">
                  <c:v>2.0960924221373276E-2</c:v>
                </c:pt>
                <c:pt idx="13">
                  <c:v>1.6579598691666086E-2</c:v>
                </c:pt>
                <c:pt idx="14">
                  <c:v>1.9838820563445717E-2</c:v>
                </c:pt>
                <c:pt idx="15">
                  <c:v>1.5432271502748715E-2</c:v>
                </c:pt>
                <c:pt idx="16">
                  <c:v>1.8927154541993844E-2</c:v>
                </c:pt>
                <c:pt idx="17">
                  <c:v>1.8020653716843815E-2</c:v>
                </c:pt>
                <c:pt idx="18">
                  <c:v>2.0588730397333097E-2</c:v>
                </c:pt>
                <c:pt idx="19">
                  <c:v>2.4966491349566893E-2</c:v>
                </c:pt>
                <c:pt idx="20">
                  <c:v>1.9124602223647535E-2</c:v>
                </c:pt>
                <c:pt idx="21">
                  <c:v>2.5529919800576381E-2</c:v>
                </c:pt>
                <c:pt idx="22">
                  <c:v>2.0428825105706479E-2</c:v>
                </c:pt>
                <c:pt idx="23">
                  <c:v>2.3340132987026547E-2</c:v>
                </c:pt>
                <c:pt idx="24">
                  <c:v>1.2857884825021072E-2</c:v>
                </c:pt>
                <c:pt idx="25">
                  <c:v>1.7223718991423918E-2</c:v>
                </c:pt>
                <c:pt idx="26">
                  <c:v>2.3936500479921973E-2</c:v>
                </c:pt>
                <c:pt idx="27">
                  <c:v>3.1936971822567432E-2</c:v>
                </c:pt>
                <c:pt idx="28">
                  <c:v>4.497736199605161E-2</c:v>
                </c:pt>
                <c:pt idx="29">
                  <c:v>4.0051409834150148E-2</c:v>
                </c:pt>
                <c:pt idx="30">
                  <c:v>4.9354881418227574E-2</c:v>
                </c:pt>
                <c:pt idx="31">
                  <c:v>2.5776369136505467E-2</c:v>
                </c:pt>
                <c:pt idx="32">
                  <c:v>5.6901803645204127E-2</c:v>
                </c:pt>
                <c:pt idx="33">
                  <c:v>4.4908048968063607E-2</c:v>
                </c:pt>
                <c:pt idx="34">
                  <c:v>3.2801625588569305E-2</c:v>
                </c:pt>
                <c:pt idx="35">
                  <c:v>4.1205898368968229E-2</c:v>
                </c:pt>
                <c:pt idx="36">
                  <c:v>4.218041222427877E-2</c:v>
                </c:pt>
                <c:pt idx="37">
                  <c:v>4.4574643656494849E-2</c:v>
                </c:pt>
                <c:pt idx="38">
                  <c:v>1.9470231251167813E-2</c:v>
                </c:pt>
                <c:pt idx="39">
                  <c:v>5.302040556419154E-2</c:v>
                </c:pt>
                <c:pt idx="40">
                  <c:v>4.5515825314970164E-2</c:v>
                </c:pt>
                <c:pt idx="41">
                  <c:v>5.4751669648997109E-2</c:v>
                </c:pt>
                <c:pt idx="42">
                  <c:v>2.6171951216967713E-2</c:v>
                </c:pt>
                <c:pt idx="43">
                  <c:v>6.2589007108294088E-3</c:v>
                </c:pt>
                <c:pt idx="44">
                  <c:v>5.2096933660641049E-3</c:v>
                </c:pt>
                <c:pt idx="45">
                  <c:v>5.1689254410951079E-3</c:v>
                </c:pt>
                <c:pt idx="46">
                  <c:v>5.9552855566253659E-3</c:v>
                </c:pt>
                <c:pt idx="47">
                  <c:v>9.5826089835063782E-3</c:v>
                </c:pt>
                <c:pt idx="48">
                  <c:v>1.4974684985790997E-3</c:v>
                </c:pt>
                <c:pt idx="49">
                  <c:v>5.4936752321702769E-3</c:v>
                </c:pt>
                <c:pt idx="50">
                  <c:v>4.7116334244507469E-3</c:v>
                </c:pt>
                <c:pt idx="51">
                  <c:v>4.9113553598733421E-3</c:v>
                </c:pt>
                <c:pt idx="52">
                  <c:v>6.2704587296076491E-3</c:v>
                </c:pt>
                <c:pt idx="53">
                  <c:v>2.9664997578512844E-3</c:v>
                </c:pt>
                <c:pt idx="54">
                  <c:v>4.0168308975251209E-3</c:v>
                </c:pt>
                <c:pt idx="55">
                  <c:v>6.1300293720348235E-3</c:v>
                </c:pt>
                <c:pt idx="56">
                  <c:v>4.4933375472743153E-3</c:v>
                </c:pt>
                <c:pt idx="57">
                  <c:v>5.7281848734235755E-3</c:v>
                </c:pt>
                <c:pt idx="58">
                  <c:v>5.2324359138658837E-3</c:v>
                </c:pt>
                <c:pt idx="59">
                  <c:v>6.0229642979036007E-3</c:v>
                </c:pt>
                <c:pt idx="60">
                  <c:v>2.8047178443803859E-3</c:v>
                </c:pt>
                <c:pt idx="61">
                  <c:v>1.1071162077136626E-2</c:v>
                </c:pt>
                <c:pt idx="62">
                  <c:v>7.3384610002715312E-3</c:v>
                </c:pt>
                <c:pt idx="63">
                  <c:v>1.0735305193309402E-2</c:v>
                </c:pt>
                <c:pt idx="64">
                  <c:v>1.0903901391580139E-2</c:v>
                </c:pt>
                <c:pt idx="65">
                  <c:v>2.1189299069938092E-2</c:v>
                </c:pt>
                <c:pt idx="66">
                  <c:v>3.3765086804195764E-3</c:v>
                </c:pt>
                <c:pt idx="67">
                  <c:v>5.9754189424853933E-3</c:v>
                </c:pt>
                <c:pt idx="68">
                  <c:v>4.3355633705394695E-3</c:v>
                </c:pt>
                <c:pt idx="69">
                  <c:v>7.67268719818985E-3</c:v>
                </c:pt>
                <c:pt idx="70">
                  <c:v>1.0760725895691523E-2</c:v>
                </c:pt>
                <c:pt idx="71">
                  <c:v>8.3586879989466078E-3</c:v>
                </c:pt>
                <c:pt idx="72">
                  <c:v>1.2071263735695923E-2</c:v>
                </c:pt>
                <c:pt idx="73">
                  <c:v>1.0680221899759892E-2</c:v>
                </c:pt>
                <c:pt idx="74">
                  <c:v>3.5518622181486799E-3</c:v>
                </c:pt>
                <c:pt idx="75">
                  <c:v>3.0600900384603245E-3</c:v>
                </c:pt>
                <c:pt idx="76">
                  <c:v>1.0153612067435841E-2</c:v>
                </c:pt>
                <c:pt idx="77">
                  <c:v>5.4147623483065043E-3</c:v>
                </c:pt>
                <c:pt idx="78">
                  <c:v>1.7998900931614483E-3</c:v>
                </c:pt>
                <c:pt idx="79">
                  <c:v>5.9158728228917608E-3</c:v>
                </c:pt>
                <c:pt idx="80">
                  <c:v>8.6602024382735985E-3</c:v>
                </c:pt>
                <c:pt idx="81">
                  <c:v>6.3222519989710926E-3</c:v>
                </c:pt>
                <c:pt idx="82">
                  <c:v>2.0351054690536112E-3</c:v>
                </c:pt>
                <c:pt idx="83">
                  <c:v>6.7205540786491524E-3</c:v>
                </c:pt>
                <c:pt idx="84">
                  <c:v>9.1626870195228374E-3</c:v>
                </c:pt>
                <c:pt idx="85">
                  <c:v>6.7483488570825234E-3</c:v>
                </c:pt>
                <c:pt idx="86">
                  <c:v>3.4915084599772203E-2</c:v>
                </c:pt>
                <c:pt idx="87">
                  <c:v>5.1796730451008466E-2</c:v>
                </c:pt>
                <c:pt idx="88">
                  <c:v>5.0433121316123208E-2</c:v>
                </c:pt>
                <c:pt idx="89">
                  <c:v>4.2568818819983659E-2</c:v>
                </c:pt>
                <c:pt idx="90">
                  <c:v>4.390941938705465E-2</c:v>
                </c:pt>
                <c:pt idx="91">
                  <c:v>5.269394192496786E-2</c:v>
                </c:pt>
                <c:pt idx="92">
                  <c:v>4.5283068811347499E-2</c:v>
                </c:pt>
                <c:pt idx="93">
                  <c:v>3.1121128869647192E-2</c:v>
                </c:pt>
                <c:pt idx="94">
                  <c:v>2.4166602685580404E-2</c:v>
                </c:pt>
                <c:pt idx="95">
                  <c:v>2.128938207474006E-2</c:v>
                </c:pt>
                <c:pt idx="96">
                  <c:v>2.4214662217913564E-2</c:v>
                </c:pt>
                <c:pt idx="97">
                  <c:v>2.0270518878131766E-2</c:v>
                </c:pt>
                <c:pt idx="98">
                  <c:v>2.3368118875429566E-2</c:v>
                </c:pt>
                <c:pt idx="99">
                  <c:v>1.9316975397385097E-2</c:v>
                </c:pt>
                <c:pt idx="100">
                  <c:v>2.3542989831340441E-2</c:v>
                </c:pt>
                <c:pt idx="101">
                  <c:v>2.9282295155970379E-2</c:v>
                </c:pt>
                <c:pt idx="102">
                  <c:v>1.6991995837008948E-2</c:v>
                </c:pt>
                <c:pt idx="103">
                  <c:v>2.7845195408578292E-2</c:v>
                </c:pt>
                <c:pt idx="104">
                  <c:v>2.4546004990425495E-2</c:v>
                </c:pt>
                <c:pt idx="105">
                  <c:v>1.9855831210829039E-2</c:v>
                </c:pt>
                <c:pt idx="106">
                  <c:v>2.1763015897620787E-2</c:v>
                </c:pt>
                <c:pt idx="107">
                  <c:v>2.2689776545733762E-2</c:v>
                </c:pt>
                <c:pt idx="108">
                  <c:v>1.9122108707378033E-2</c:v>
                </c:pt>
                <c:pt idx="109">
                  <c:v>2.6602713402813317E-2</c:v>
                </c:pt>
                <c:pt idx="110">
                  <c:v>2.82376775441486E-2</c:v>
                </c:pt>
                <c:pt idx="111">
                  <c:v>4.8903044977586532E-2</c:v>
                </c:pt>
                <c:pt idx="112">
                  <c:v>5.1580815079888945E-2</c:v>
                </c:pt>
                <c:pt idx="113">
                  <c:v>5.1514476661673587E-2</c:v>
                </c:pt>
                <c:pt idx="114">
                  <c:v>5.0045495485373195E-2</c:v>
                </c:pt>
                <c:pt idx="115">
                  <c:v>5.1523733793487597E-2</c:v>
                </c:pt>
                <c:pt idx="116">
                  <c:v>4.7628391071703184E-2</c:v>
                </c:pt>
                <c:pt idx="117">
                  <c:v>4.2607404155000674E-2</c:v>
                </c:pt>
                <c:pt idx="118">
                  <c:v>4.2183564994426208E-2</c:v>
                </c:pt>
                <c:pt idx="119">
                  <c:v>4.4835983017767859E-2</c:v>
                </c:pt>
                <c:pt idx="120">
                  <c:v>5.1213898397025337E-2</c:v>
                </c:pt>
                <c:pt idx="121">
                  <c:v>4.2975760847300704E-2</c:v>
                </c:pt>
                <c:pt idx="122">
                  <c:v>4.1575445193807195E-2</c:v>
                </c:pt>
                <c:pt idx="123">
                  <c:v>3.1761412307228357E-2</c:v>
                </c:pt>
                <c:pt idx="124">
                  <c:v>3.8907742107406412E-2</c:v>
                </c:pt>
                <c:pt idx="125">
                  <c:v>5.9750801854492372E-2</c:v>
                </c:pt>
                <c:pt idx="126">
                  <c:v>4.9036123768143453E-2</c:v>
                </c:pt>
                <c:pt idx="127">
                  <c:v>3.2029767720111298E-2</c:v>
                </c:pt>
                <c:pt idx="128">
                  <c:v>6.7443586430678756E-2</c:v>
                </c:pt>
                <c:pt idx="129">
                  <c:v>5.5285039794397327E-2</c:v>
                </c:pt>
                <c:pt idx="130">
                  <c:v>5.8633631367525384E-2</c:v>
                </c:pt>
                <c:pt idx="131">
                  <c:v>6.3061511394290393E-2</c:v>
                </c:pt>
                <c:pt idx="132">
                  <c:v>7.0628474941563255E-2</c:v>
                </c:pt>
                <c:pt idx="133">
                  <c:v>6.8376983496536911E-2</c:v>
                </c:pt>
                <c:pt idx="134">
                  <c:v>4.6967051920345643E-2</c:v>
                </c:pt>
                <c:pt idx="135">
                  <c:v>5.9732771372905157E-3</c:v>
                </c:pt>
                <c:pt idx="136">
                  <c:v>4.8194517267301411E-3</c:v>
                </c:pt>
                <c:pt idx="137">
                  <c:v>4.5384667548727768E-3</c:v>
                </c:pt>
                <c:pt idx="138">
                  <c:v>5.5421309298972809E-3</c:v>
                </c:pt>
                <c:pt idx="139">
                  <c:v>5.2671910918221055E-3</c:v>
                </c:pt>
                <c:pt idx="140">
                  <c:v>5.9668516583288528E-3</c:v>
                </c:pt>
                <c:pt idx="141">
                  <c:v>6.9561119232712833E-3</c:v>
                </c:pt>
                <c:pt idx="142">
                  <c:v>5.930867219212415E-3</c:v>
                </c:pt>
                <c:pt idx="143">
                  <c:v>0.15901103658474114</c:v>
                </c:pt>
                <c:pt idx="144">
                  <c:v>4.7004634646329157E-3</c:v>
                </c:pt>
                <c:pt idx="145">
                  <c:v>5.4893868569262571E-3</c:v>
                </c:pt>
                <c:pt idx="146">
                  <c:v>5.2916467720994882E-3</c:v>
                </c:pt>
                <c:pt idx="147">
                  <c:v>4.6880043243637086E-3</c:v>
                </c:pt>
                <c:pt idx="148">
                  <c:v>5.3384090632011601E-3</c:v>
                </c:pt>
                <c:pt idx="149">
                  <c:v>4.4095137180409734E-3</c:v>
                </c:pt>
                <c:pt idx="150">
                  <c:v>5.1925283904123484E-3</c:v>
                </c:pt>
                <c:pt idx="151">
                  <c:v>7.5327105937271887E-3</c:v>
                </c:pt>
                <c:pt idx="152">
                  <c:v>2.0760997668817879E-2</c:v>
                </c:pt>
                <c:pt idx="153">
                  <c:v>1.3937588261780823E-2</c:v>
                </c:pt>
                <c:pt idx="154">
                  <c:v>7.9085822344826338E-3</c:v>
                </c:pt>
                <c:pt idx="155">
                  <c:v>8.010493612333339E-3</c:v>
                </c:pt>
                <c:pt idx="156">
                  <c:v>8.2121138602393728E-3</c:v>
                </c:pt>
                <c:pt idx="157">
                  <c:v>5.5691437062765749E-3</c:v>
                </c:pt>
                <c:pt idx="158">
                  <c:v>7.0176522674677833E-3</c:v>
                </c:pt>
                <c:pt idx="159">
                  <c:v>7.9388596596198843E-3</c:v>
                </c:pt>
                <c:pt idx="160">
                  <c:v>6.128744747598453E-3</c:v>
                </c:pt>
                <c:pt idx="161">
                  <c:v>1.2024798412191253E-2</c:v>
                </c:pt>
                <c:pt idx="162">
                  <c:v>1.0137065665131279E-2</c:v>
                </c:pt>
                <c:pt idx="163">
                  <c:v>1.1143551158370188E-2</c:v>
                </c:pt>
                <c:pt idx="164">
                  <c:v>9.1210126981031529E-3</c:v>
                </c:pt>
                <c:pt idx="165">
                  <c:v>1.22275197136394E-2</c:v>
                </c:pt>
                <c:pt idx="166">
                  <c:v>5.7376140570339924E-3</c:v>
                </c:pt>
                <c:pt idx="167">
                  <c:v>6.634592814311828E-3</c:v>
                </c:pt>
                <c:pt idx="168">
                  <c:v>5.1238617027473173E-3</c:v>
                </c:pt>
                <c:pt idx="169">
                  <c:v>5.7903279938212706E-3</c:v>
                </c:pt>
                <c:pt idx="170">
                  <c:v>5.3744426232220904E-3</c:v>
                </c:pt>
                <c:pt idx="171">
                  <c:v>6.1398780331417381E-3</c:v>
                </c:pt>
                <c:pt idx="172">
                  <c:v>6.5297911444308519E-3</c:v>
                </c:pt>
                <c:pt idx="173">
                  <c:v>7.6974344651892668E-3</c:v>
                </c:pt>
                <c:pt idx="174">
                  <c:v>5.7650432453752896E-3</c:v>
                </c:pt>
                <c:pt idx="175">
                  <c:v>8.6878733602621175E-3</c:v>
                </c:pt>
                <c:pt idx="176">
                  <c:v>6.2601849503281844E-3</c:v>
                </c:pt>
                <c:pt idx="177">
                  <c:v>6.9881652740268804E-3</c:v>
                </c:pt>
                <c:pt idx="178">
                  <c:v>6.439941008353E-3</c:v>
                </c:pt>
                <c:pt idx="179">
                  <c:v>5.6158761292813171E-3</c:v>
                </c:pt>
                <c:pt idx="180">
                  <c:v>9.1358968433989576E-3</c:v>
                </c:pt>
                <c:pt idx="181">
                  <c:v>4.992935747788944E-3</c:v>
                </c:pt>
                <c:pt idx="182">
                  <c:v>5.345377302921217E-2</c:v>
                </c:pt>
                <c:pt idx="183">
                  <c:v>6.9009867863671359E-2</c:v>
                </c:pt>
                <c:pt idx="184">
                  <c:v>5.3209480720237123E-2</c:v>
                </c:pt>
                <c:pt idx="185">
                  <c:v>6.045683446887936E-2</c:v>
                </c:pt>
                <c:pt idx="186">
                  <c:v>5.6920470418550494E-2</c:v>
                </c:pt>
                <c:pt idx="187">
                  <c:v>5.2431901379392611E-2</c:v>
                </c:pt>
                <c:pt idx="188">
                  <c:v>5.5497210863516645E-2</c:v>
                </c:pt>
                <c:pt idx="189">
                  <c:v>5.128221236657899E-2</c:v>
                </c:pt>
                <c:pt idx="190">
                  <c:v>5.9034521352480468E-2</c:v>
                </c:pt>
                <c:pt idx="191">
                  <c:v>4.5546328685969278E-2</c:v>
                </c:pt>
                <c:pt idx="192">
                  <c:v>5.373592091204208E-2</c:v>
                </c:pt>
                <c:pt idx="193">
                  <c:v>5.3486411751160999E-2</c:v>
                </c:pt>
                <c:pt idx="194">
                  <c:v>6.0593597168272222E-2</c:v>
                </c:pt>
                <c:pt idx="195">
                  <c:v>4.7454390593962816E-2</c:v>
                </c:pt>
                <c:pt idx="196">
                  <c:v>5.0319422650320154E-2</c:v>
                </c:pt>
                <c:pt idx="197">
                  <c:v>3.9656780340998572E-2</c:v>
                </c:pt>
                <c:pt idx="198">
                  <c:v>3.6179199765711899E-2</c:v>
                </c:pt>
                <c:pt idx="199">
                  <c:v>2.6518964845862733E-2</c:v>
                </c:pt>
                <c:pt idx="200">
                  <c:v>1.714189934981512E-2</c:v>
                </c:pt>
                <c:pt idx="201">
                  <c:v>2.0340561996834202E-2</c:v>
                </c:pt>
                <c:pt idx="202">
                  <c:v>2.4382623419841674E-2</c:v>
                </c:pt>
                <c:pt idx="203">
                  <c:v>2.289252533020365E-2</c:v>
                </c:pt>
                <c:pt idx="204">
                  <c:v>1.7564607368279941E-2</c:v>
                </c:pt>
                <c:pt idx="205">
                  <c:v>2.3232699814402784E-2</c:v>
                </c:pt>
                <c:pt idx="206">
                  <c:v>3.2737188651818259E-2</c:v>
                </c:pt>
                <c:pt idx="207">
                  <c:v>2.4886527735854772E-2</c:v>
                </c:pt>
                <c:pt idx="208">
                  <c:v>1.8443340180007334E-2</c:v>
                </c:pt>
                <c:pt idx="209">
                  <c:v>2.4142776330193638E-2</c:v>
                </c:pt>
                <c:pt idx="210">
                  <c:v>2.4362093750382296E-2</c:v>
                </c:pt>
                <c:pt idx="211">
                  <c:v>1.6864599819673674E-2</c:v>
                </c:pt>
                <c:pt idx="212">
                  <c:v>1.9994795689672943E-2</c:v>
                </c:pt>
                <c:pt idx="213">
                  <c:v>2.2432907951249796E-2</c:v>
                </c:pt>
                <c:pt idx="214">
                  <c:v>3.0890638237866148E-2</c:v>
                </c:pt>
                <c:pt idx="215">
                  <c:v>2.5439820354441103E-2</c:v>
                </c:pt>
                <c:pt idx="216">
                  <c:v>4.1509928841153912E-2</c:v>
                </c:pt>
                <c:pt idx="217">
                  <c:v>3.660614220596712E-2</c:v>
                </c:pt>
                <c:pt idx="218">
                  <c:v>2.6575343699772207E-2</c:v>
                </c:pt>
                <c:pt idx="219">
                  <c:v>3.3445067563593618E-2</c:v>
                </c:pt>
                <c:pt idx="220">
                  <c:v>2.9233169094280195E-2</c:v>
                </c:pt>
                <c:pt idx="221">
                  <c:v>3.8415085219032488E-2</c:v>
                </c:pt>
                <c:pt idx="222">
                  <c:v>3.1227840990686647E-2</c:v>
                </c:pt>
                <c:pt idx="223">
                  <c:v>3.565023175016261E-2</c:v>
                </c:pt>
                <c:pt idx="224">
                  <c:v>3.8956977072759497E-2</c:v>
                </c:pt>
                <c:pt idx="225">
                  <c:v>2.669543077100954E-2</c:v>
                </c:pt>
                <c:pt idx="226">
                  <c:v>4.1021006970041365E-2</c:v>
                </c:pt>
                <c:pt idx="227">
                  <c:v>4.4053454685399999E-2</c:v>
                </c:pt>
                <c:pt idx="228">
                  <c:v>3.2605465918187096E-2</c:v>
                </c:pt>
                <c:pt idx="229">
                  <c:v>4.0667598042916239E-2</c:v>
                </c:pt>
                <c:pt idx="230">
                  <c:v>7.0428641958421787E-3</c:v>
                </c:pt>
                <c:pt idx="231">
                  <c:v>8.8130090520892948E-3</c:v>
                </c:pt>
                <c:pt idx="232">
                  <c:v>6.7226922016846409E-3</c:v>
                </c:pt>
                <c:pt idx="233">
                  <c:v>6.4348061533596622E-3</c:v>
                </c:pt>
                <c:pt idx="234">
                  <c:v>7.52844230553683E-3</c:v>
                </c:pt>
                <c:pt idx="235">
                  <c:v>0.15989579732588505</c:v>
                </c:pt>
                <c:pt idx="236">
                  <c:v>6.3192558624570825E-3</c:v>
                </c:pt>
                <c:pt idx="237">
                  <c:v>5.4254850493141047E-3</c:v>
                </c:pt>
                <c:pt idx="238">
                  <c:v>7.1214818282363864E-3</c:v>
                </c:pt>
                <c:pt idx="239">
                  <c:v>5.0899535215804892E-3</c:v>
                </c:pt>
                <c:pt idx="240">
                  <c:v>1.0486527469298068E-2</c:v>
                </c:pt>
                <c:pt idx="241">
                  <c:v>4.7258102674337336E-3</c:v>
                </c:pt>
                <c:pt idx="242">
                  <c:v>6.1856927812755612E-3</c:v>
                </c:pt>
                <c:pt idx="243">
                  <c:v>5.8713149903995947E-3</c:v>
                </c:pt>
                <c:pt idx="244">
                  <c:v>5.8875962669149391E-3</c:v>
                </c:pt>
                <c:pt idx="245">
                  <c:v>4.4929077227525618E-3</c:v>
                </c:pt>
                <c:pt idx="246">
                  <c:v>6.7693006680212275E-3</c:v>
                </c:pt>
                <c:pt idx="247">
                  <c:v>2.5805835443237151E-2</c:v>
                </c:pt>
                <c:pt idx="248">
                  <c:v>1.5417182446236844E-2</c:v>
                </c:pt>
                <c:pt idx="249">
                  <c:v>1.4195746511926479E-2</c:v>
                </c:pt>
                <c:pt idx="250">
                  <c:v>1.374449996612591E-2</c:v>
                </c:pt>
                <c:pt idx="251">
                  <c:v>9.152481433005356E-3</c:v>
                </c:pt>
                <c:pt idx="252">
                  <c:v>9.6480258465333427E-3</c:v>
                </c:pt>
                <c:pt idx="253">
                  <c:v>8.4383456325084275E-3</c:v>
                </c:pt>
                <c:pt idx="254">
                  <c:v>6.864640021630849E-3</c:v>
                </c:pt>
                <c:pt idx="255">
                  <c:v>7.55191737147999E-3</c:v>
                </c:pt>
                <c:pt idx="256">
                  <c:v>8.7189478324512862E-3</c:v>
                </c:pt>
                <c:pt idx="257">
                  <c:v>1.4532298990854793E-2</c:v>
                </c:pt>
                <c:pt idx="258">
                  <c:v>8.9440649255207085E-3</c:v>
                </c:pt>
                <c:pt idx="259">
                  <c:v>6.6606823595257792E-3</c:v>
                </c:pt>
                <c:pt idx="260">
                  <c:v>7.564294622623609E-3</c:v>
                </c:pt>
                <c:pt idx="261">
                  <c:v>1.0039047124109024E-2</c:v>
                </c:pt>
                <c:pt idx="262">
                  <c:v>1.0397068277983526E-2</c:v>
                </c:pt>
                <c:pt idx="263">
                  <c:v>4.7971170654502494E-3</c:v>
                </c:pt>
                <c:pt idx="264">
                  <c:v>6.6619654114789652E-3</c:v>
                </c:pt>
                <c:pt idx="265">
                  <c:v>5.0586182916772405E-3</c:v>
                </c:pt>
                <c:pt idx="266">
                  <c:v>4.8881665579911509E-3</c:v>
                </c:pt>
                <c:pt idx="267">
                  <c:v>5.1629172128080658E-3</c:v>
                </c:pt>
                <c:pt idx="268">
                  <c:v>5.5412733539241922E-3</c:v>
                </c:pt>
                <c:pt idx="269">
                  <c:v>5.5824350905941209E-3</c:v>
                </c:pt>
                <c:pt idx="270">
                  <c:v>4.6862857942068714E-3</c:v>
                </c:pt>
                <c:pt idx="271">
                  <c:v>4.9577292495263927E-3</c:v>
                </c:pt>
                <c:pt idx="272">
                  <c:v>5.29894030487862E-3</c:v>
                </c:pt>
                <c:pt idx="273">
                  <c:v>4.1278331225045543E-3</c:v>
                </c:pt>
                <c:pt idx="274">
                  <c:v>6.0675065749636256E-3</c:v>
                </c:pt>
                <c:pt idx="275">
                  <c:v>5.7851854523743688E-3</c:v>
                </c:pt>
                <c:pt idx="276">
                  <c:v>4.3957564672472303E-3</c:v>
                </c:pt>
                <c:pt idx="277">
                  <c:v>3.4603994289674658E-2</c:v>
                </c:pt>
                <c:pt idx="278">
                  <c:v>4.2936027990639856E-2</c:v>
                </c:pt>
                <c:pt idx="279">
                  <c:v>3.5119817555477571E-2</c:v>
                </c:pt>
                <c:pt idx="280">
                  <c:v>2.665132101142503E-2</c:v>
                </c:pt>
                <c:pt idx="281">
                  <c:v>3.1008729422043951E-2</c:v>
                </c:pt>
                <c:pt idx="282">
                  <c:v>3.4722683893966287E-2</c:v>
                </c:pt>
                <c:pt idx="283">
                  <c:v>4.2723139595394866E-2</c:v>
                </c:pt>
                <c:pt idx="284">
                  <c:v>3.788326295156616E-2</c:v>
                </c:pt>
                <c:pt idx="285">
                  <c:v>3.9629824684003924E-2</c:v>
                </c:pt>
                <c:pt idx="286">
                  <c:v>3.3781498926689538E-2</c:v>
                </c:pt>
                <c:pt idx="287">
                  <c:v>3.8419855545335564E-2</c:v>
                </c:pt>
                <c:pt idx="288">
                  <c:v>3.3457532633114649E-2</c:v>
                </c:pt>
                <c:pt idx="289">
                  <c:v>3.4051420202383595E-2</c:v>
                </c:pt>
                <c:pt idx="290">
                  <c:v>2.8389038510212121E-2</c:v>
                </c:pt>
                <c:pt idx="291">
                  <c:v>2.5577419256029636E-2</c:v>
                </c:pt>
                <c:pt idx="292">
                  <c:v>1.3304998789541597E-2</c:v>
                </c:pt>
                <c:pt idx="293">
                  <c:v>1.6635192772760078E-2</c:v>
                </c:pt>
                <c:pt idx="294">
                  <c:v>2.3182472893468552E-2</c:v>
                </c:pt>
                <c:pt idx="295">
                  <c:v>2.0993201867122158E-2</c:v>
                </c:pt>
                <c:pt idx="296">
                  <c:v>2.1529156594604523E-2</c:v>
                </c:pt>
                <c:pt idx="297">
                  <c:v>1.9826788239807835E-2</c:v>
                </c:pt>
                <c:pt idx="298">
                  <c:v>2.1365876257650226E-2</c:v>
                </c:pt>
                <c:pt idx="299">
                  <c:v>2.1262502541339615E-2</c:v>
                </c:pt>
                <c:pt idx="300">
                  <c:v>2.0575890436626134E-2</c:v>
                </c:pt>
                <c:pt idx="301">
                  <c:v>1.796273653573759E-2</c:v>
                </c:pt>
                <c:pt idx="302">
                  <c:v>2.4566525968205334E-2</c:v>
                </c:pt>
                <c:pt idx="303">
                  <c:v>2.9837317634801526E-2</c:v>
                </c:pt>
                <c:pt idx="304">
                  <c:v>2.4385908076897951E-2</c:v>
                </c:pt>
                <c:pt idx="305">
                  <c:v>2.5108749174391688E-2</c:v>
                </c:pt>
                <c:pt idx="306">
                  <c:v>1.8177699573358505E-2</c:v>
                </c:pt>
                <c:pt idx="307">
                  <c:v>2.2850087787438304E-2</c:v>
                </c:pt>
                <c:pt idx="308">
                  <c:v>2.5896268150499141E-2</c:v>
                </c:pt>
                <c:pt idx="309">
                  <c:v>2.9148707999382378E-2</c:v>
                </c:pt>
                <c:pt idx="310">
                  <c:v>2.9793525850103982E-2</c:v>
                </c:pt>
                <c:pt idx="311">
                  <c:v>3.1527222503728428E-2</c:v>
                </c:pt>
                <c:pt idx="312">
                  <c:v>4.8849491567646591E-2</c:v>
                </c:pt>
                <c:pt idx="313">
                  <c:v>5.2232090252334322E-2</c:v>
                </c:pt>
                <c:pt idx="314">
                  <c:v>5.128722935319846E-2</c:v>
                </c:pt>
                <c:pt idx="315">
                  <c:v>5.4740183891589592E-2</c:v>
                </c:pt>
                <c:pt idx="316">
                  <c:v>5.0960232193341816E-2</c:v>
                </c:pt>
                <c:pt idx="317">
                  <c:v>6.9311340641902863E-2</c:v>
                </c:pt>
                <c:pt idx="318">
                  <c:v>6.5018092409927702E-2</c:v>
                </c:pt>
                <c:pt idx="319">
                  <c:v>5.7795004069084055E-2</c:v>
                </c:pt>
                <c:pt idx="320">
                  <c:v>7.2380423755636678E-2</c:v>
                </c:pt>
                <c:pt idx="321">
                  <c:v>5.1412249377976865E-2</c:v>
                </c:pt>
                <c:pt idx="322">
                  <c:v>6.3837178519397617E-2</c:v>
                </c:pt>
                <c:pt idx="323">
                  <c:v>5.8213380702655901E-2</c:v>
                </c:pt>
                <c:pt idx="324">
                  <c:v>6.6359847468833888E-2</c:v>
                </c:pt>
                <c:pt idx="325">
                  <c:v>5.6744437524132635E-2</c:v>
                </c:pt>
                <c:pt idx="326">
                  <c:v>3.991442681437034E-3</c:v>
                </c:pt>
                <c:pt idx="327">
                  <c:v>5.8378936156919456E-3</c:v>
                </c:pt>
                <c:pt idx="328">
                  <c:v>4.2035392954185196E-3</c:v>
                </c:pt>
                <c:pt idx="329">
                  <c:v>5.0564719603200577E-3</c:v>
                </c:pt>
                <c:pt idx="330">
                  <c:v>4.733972482256715E-3</c:v>
                </c:pt>
                <c:pt idx="331">
                  <c:v>4.1824633342384867E-3</c:v>
                </c:pt>
                <c:pt idx="332">
                  <c:v>4.3514723571923732E-3</c:v>
                </c:pt>
                <c:pt idx="333">
                  <c:v>4.5191262401296636E-3</c:v>
                </c:pt>
                <c:pt idx="334">
                  <c:v>4.9615935168214973E-3</c:v>
                </c:pt>
                <c:pt idx="335">
                  <c:v>5.338838051738402E-3</c:v>
                </c:pt>
                <c:pt idx="336">
                  <c:v>6.7167054306585278E-3</c:v>
                </c:pt>
                <c:pt idx="337">
                  <c:v>4.1910658909104122E-3</c:v>
                </c:pt>
                <c:pt idx="338">
                  <c:v>7.517771401529893E-3</c:v>
                </c:pt>
                <c:pt idx="339">
                  <c:v>7.3337637804586787E-3</c:v>
                </c:pt>
                <c:pt idx="340">
                  <c:v>4.2929932159351796E-3</c:v>
                </c:pt>
                <c:pt idx="341">
                  <c:v>5.1556213952828047E-3</c:v>
                </c:pt>
                <c:pt idx="342">
                  <c:v>8.9155593836032897E-3</c:v>
                </c:pt>
                <c:pt idx="343">
                  <c:v>2.6387385717215751E-2</c:v>
                </c:pt>
                <c:pt idx="344">
                  <c:v>1.3760909498821914E-2</c:v>
                </c:pt>
                <c:pt idx="345">
                  <c:v>9.6650156275747707E-3</c:v>
                </c:pt>
                <c:pt idx="346">
                  <c:v>5.458938175004268E-3</c:v>
                </c:pt>
                <c:pt idx="347">
                  <c:v>1.2083512856587398E-2</c:v>
                </c:pt>
                <c:pt idx="348">
                  <c:v>9.2732321708412276E-3</c:v>
                </c:pt>
                <c:pt idx="349">
                  <c:v>7.376036929944341E-3</c:v>
                </c:pt>
                <c:pt idx="350">
                  <c:v>1.1265019169745628E-2</c:v>
                </c:pt>
                <c:pt idx="351">
                  <c:v>1.2830056678841422E-2</c:v>
                </c:pt>
                <c:pt idx="352">
                  <c:v>9.2519756730643568E-3</c:v>
                </c:pt>
                <c:pt idx="353">
                  <c:v>1.0349151275227774E-2</c:v>
                </c:pt>
                <c:pt idx="354">
                  <c:v>1.0939476145814316E-2</c:v>
                </c:pt>
                <c:pt idx="355">
                  <c:v>9.9758113047581122E-3</c:v>
                </c:pt>
                <c:pt idx="356">
                  <c:v>4.4077940855238801E-3</c:v>
                </c:pt>
                <c:pt idx="357">
                  <c:v>5.5627122452479427E-3</c:v>
                </c:pt>
                <c:pt idx="358">
                  <c:v>6.4360898727997967E-3</c:v>
                </c:pt>
                <c:pt idx="359">
                  <c:v>5.5271231058761344E-3</c:v>
                </c:pt>
                <c:pt idx="360">
                  <c:v>6.7432176472582567E-3</c:v>
                </c:pt>
                <c:pt idx="361">
                  <c:v>6.7368035497220608E-3</c:v>
                </c:pt>
                <c:pt idx="362">
                  <c:v>5.5567094623559981E-3</c:v>
                </c:pt>
                <c:pt idx="363">
                  <c:v>7.4481906789955607E-3</c:v>
                </c:pt>
                <c:pt idx="364">
                  <c:v>5.1672088129232872E-3</c:v>
                </c:pt>
                <c:pt idx="365">
                  <c:v>6.3380883771802657E-3</c:v>
                </c:pt>
                <c:pt idx="366">
                  <c:v>6.8441203140045138E-3</c:v>
                </c:pt>
                <c:pt idx="367">
                  <c:v>6.218231162380205E-3</c:v>
                </c:pt>
                <c:pt idx="368">
                  <c:v>6.82359963680957E-3</c:v>
                </c:pt>
                <c:pt idx="369">
                  <c:v>6.2207998781158395E-3</c:v>
                </c:pt>
                <c:pt idx="370">
                  <c:v>6.4797340761802895E-3</c:v>
                </c:pt>
                <c:pt idx="371">
                  <c:v>5.1371667214971072E-3</c:v>
                </c:pt>
                <c:pt idx="372">
                  <c:v>7.2086282225721924E-3</c:v>
                </c:pt>
                <c:pt idx="373">
                  <c:v>4.2506602590594599E-2</c:v>
                </c:pt>
                <c:pt idx="374">
                  <c:v>4.0305193714158437E-2</c:v>
                </c:pt>
                <c:pt idx="375">
                  <c:v>4.8067169847398367E-2</c:v>
                </c:pt>
                <c:pt idx="376">
                  <c:v>4.5619840827607658E-2</c:v>
                </c:pt>
                <c:pt idx="377">
                  <c:v>4.715916994654934E-2</c:v>
                </c:pt>
                <c:pt idx="378">
                  <c:v>4.8122374779883209E-2</c:v>
                </c:pt>
                <c:pt idx="379">
                  <c:v>5.6751678379192552E-2</c:v>
                </c:pt>
                <c:pt idx="380">
                  <c:v>6.6041024221858577E-2</c:v>
                </c:pt>
                <c:pt idx="381">
                  <c:v>6.6967759343617511E-2</c:v>
                </c:pt>
                <c:pt idx="382">
                  <c:v>5.9718252061157939E-2</c:v>
                </c:pt>
                <c:pt idx="383">
                  <c:v>6.9797552120394721E-2</c:v>
                </c:pt>
                <c:pt idx="384">
                  <c:v>6.7128162761473875E-2</c:v>
                </c:pt>
                <c:pt idx="385">
                  <c:v>5.0002533605605602E-2</c:v>
                </c:pt>
                <c:pt idx="386">
                  <c:v>6.7139697614757604E-2</c:v>
                </c:pt>
                <c:pt idx="387">
                  <c:v>6.4408192263423217E-2</c:v>
                </c:pt>
                <c:pt idx="388">
                  <c:v>5.6848846595001765E-2</c:v>
                </c:pt>
                <c:pt idx="389">
                  <c:v>6.2708681970907509E-2</c:v>
                </c:pt>
                <c:pt idx="390">
                  <c:v>5.7616282683487709E-2</c:v>
                </c:pt>
                <c:pt idx="391">
                  <c:v>5.0454388169947968E-2</c:v>
                </c:pt>
                <c:pt idx="392">
                  <c:v>5.5475042880607554E-2</c:v>
                </c:pt>
                <c:pt idx="393">
                  <c:v>3.9773304666553315E-2</c:v>
                </c:pt>
                <c:pt idx="394">
                  <c:v>5.0413013514708054E-2</c:v>
                </c:pt>
                <c:pt idx="395">
                  <c:v>5.3423820043635779E-2</c:v>
                </c:pt>
                <c:pt idx="396">
                  <c:v>6.5909324808480912E-2</c:v>
                </c:pt>
                <c:pt idx="397">
                  <c:v>6.3481226624689344E-2</c:v>
                </c:pt>
                <c:pt idx="398">
                  <c:v>5.9551301408429229E-2</c:v>
                </c:pt>
                <c:pt idx="399">
                  <c:v>6.0471570642026226E-2</c:v>
                </c:pt>
                <c:pt idx="400">
                  <c:v>6.0713323620005595E-2</c:v>
                </c:pt>
                <c:pt idx="401">
                  <c:v>6.737813997746421E-2</c:v>
                </c:pt>
                <c:pt idx="402">
                  <c:v>5.5315247049210502E-2</c:v>
                </c:pt>
                <c:pt idx="403">
                  <c:v>6.3986748776847971E-2</c:v>
                </c:pt>
                <c:pt idx="404">
                  <c:v>8.4426125492990237E-2</c:v>
                </c:pt>
                <c:pt idx="405">
                  <c:v>8.7084710762281234E-2</c:v>
                </c:pt>
                <c:pt idx="406">
                  <c:v>7.9148672739967785E-2</c:v>
                </c:pt>
                <c:pt idx="407">
                  <c:v>7.6410312203008271E-2</c:v>
                </c:pt>
                <c:pt idx="408">
                  <c:v>8.1682082445891452E-2</c:v>
                </c:pt>
                <c:pt idx="409">
                  <c:v>7.5646582229367057E-2</c:v>
                </c:pt>
                <c:pt idx="410">
                  <c:v>7.4818634046110083E-2</c:v>
                </c:pt>
                <c:pt idx="411">
                  <c:v>6.907210543055628E-2</c:v>
                </c:pt>
                <c:pt idx="412">
                  <c:v>7.1108421782449679E-2</c:v>
                </c:pt>
                <c:pt idx="413">
                  <c:v>7.5175279883748752E-2</c:v>
                </c:pt>
                <c:pt idx="414">
                  <c:v>7.1880167071371029E-2</c:v>
                </c:pt>
                <c:pt idx="415">
                  <c:v>6.3239508171934661E-2</c:v>
                </c:pt>
                <c:pt idx="416">
                  <c:v>7.0506651549883143E-2</c:v>
                </c:pt>
                <c:pt idx="417">
                  <c:v>7.835167561087085E-2</c:v>
                </c:pt>
                <c:pt idx="418">
                  <c:v>7.7042516839959801E-2</c:v>
                </c:pt>
                <c:pt idx="419">
                  <c:v>7.1317057182455207E-2</c:v>
                </c:pt>
                <c:pt idx="420">
                  <c:v>7.0978987976600877E-2</c:v>
                </c:pt>
                <c:pt idx="421">
                  <c:v>6.6887349261148935E-2</c:v>
                </c:pt>
                <c:pt idx="422">
                  <c:v>5.2890725548151198E-3</c:v>
                </c:pt>
                <c:pt idx="423">
                  <c:v>4.7447120048927016E-3</c:v>
                </c:pt>
                <c:pt idx="424">
                  <c:v>5.2199920258204253E-3</c:v>
                </c:pt>
                <c:pt idx="425">
                  <c:v>4.6613663427146684E-3</c:v>
                </c:pt>
                <c:pt idx="426">
                  <c:v>5.2019692109758174E-3</c:v>
                </c:pt>
                <c:pt idx="427">
                  <c:v>4.4632488033595971E-3</c:v>
                </c:pt>
                <c:pt idx="428">
                  <c:v>5.9497165829813983E-3</c:v>
                </c:pt>
                <c:pt idx="429">
                  <c:v>6.8778918175553417E-3</c:v>
                </c:pt>
                <c:pt idx="430">
                  <c:v>5.8631741232477606E-3</c:v>
                </c:pt>
                <c:pt idx="431">
                  <c:v>5.7920421607716962E-3</c:v>
                </c:pt>
                <c:pt idx="432">
                  <c:v>7.1142188393044934E-3</c:v>
                </c:pt>
                <c:pt idx="433">
                  <c:v>6.2704587296076491E-3</c:v>
                </c:pt>
                <c:pt idx="434">
                  <c:v>4.8160156997557923E-3</c:v>
                </c:pt>
                <c:pt idx="435">
                  <c:v>6.8257372525915424E-3</c:v>
                </c:pt>
                <c:pt idx="436">
                  <c:v>5.6634608605902201E-3</c:v>
                </c:pt>
                <c:pt idx="437">
                  <c:v>5.5164029140426334E-3</c:v>
                </c:pt>
                <c:pt idx="438">
                  <c:v>6.2807322658537616E-3</c:v>
                </c:pt>
                <c:pt idx="439">
                  <c:v>6.776996997784503E-3</c:v>
                </c:pt>
                <c:pt idx="440">
                  <c:v>5.6445990683095483E-3</c:v>
                </c:pt>
                <c:pt idx="441">
                  <c:v>7.0172249340338874E-3</c:v>
                </c:pt>
                <c:pt idx="442">
                  <c:v>4.853810501383218E-3</c:v>
                </c:pt>
                <c:pt idx="443">
                  <c:v>5.5687149451710584E-3</c:v>
                </c:pt>
                <c:pt idx="444">
                  <c:v>5.5914387004754977E-3</c:v>
                </c:pt>
                <c:pt idx="445">
                  <c:v>7.1001197493353943E-3</c:v>
                </c:pt>
                <c:pt idx="446">
                  <c:v>7.5250276447810125E-3</c:v>
                </c:pt>
                <c:pt idx="447">
                  <c:v>7.2299849649559407E-3</c:v>
                </c:pt>
                <c:pt idx="448">
                  <c:v>7.8224292802421685E-3</c:v>
                </c:pt>
                <c:pt idx="449">
                  <c:v>6.7265407966220631E-3</c:v>
                </c:pt>
                <c:pt idx="450">
                  <c:v>7.5041122618004106E-3</c:v>
                </c:pt>
                <c:pt idx="451">
                  <c:v>6.3885897261911255E-3</c:v>
                </c:pt>
                <c:pt idx="452">
                  <c:v>6.105620857944874E-3</c:v>
                </c:pt>
                <c:pt idx="453">
                  <c:v>8.9444903671994994E-3</c:v>
                </c:pt>
                <c:pt idx="454">
                  <c:v>7.7136474272693047E-3</c:v>
                </c:pt>
                <c:pt idx="455">
                  <c:v>7.6842076530876848E-3</c:v>
                </c:pt>
                <c:pt idx="456">
                  <c:v>6.9227739287440358E-3</c:v>
                </c:pt>
                <c:pt idx="457">
                  <c:v>7.7972625683729166E-3</c:v>
                </c:pt>
                <c:pt idx="458">
                  <c:v>6.7265407966220631E-3</c:v>
                </c:pt>
                <c:pt idx="459">
                  <c:v>7.6667135086693145E-3</c:v>
                </c:pt>
                <c:pt idx="460">
                  <c:v>7.1231907491566358E-3</c:v>
                </c:pt>
                <c:pt idx="461">
                  <c:v>6.4677537512067163E-3</c:v>
                </c:pt>
                <c:pt idx="462">
                  <c:v>7.8403436781011946E-3</c:v>
                </c:pt>
                <c:pt idx="463">
                  <c:v>5.3825926567358587E-3</c:v>
                </c:pt>
                <c:pt idx="464">
                  <c:v>6.8526703100063669E-3</c:v>
                </c:pt>
                <c:pt idx="465">
                  <c:v>5.6656041942438826E-3</c:v>
                </c:pt>
                <c:pt idx="466">
                  <c:v>6.7000275619061005E-3</c:v>
                </c:pt>
                <c:pt idx="467">
                  <c:v>8.3437771928345662E-3</c:v>
                </c:pt>
                <c:pt idx="468">
                  <c:v>5.5361278625233688E-3</c:v>
                </c:pt>
                <c:pt idx="469">
                  <c:v>6.4112706244619849E-3</c:v>
                </c:pt>
                <c:pt idx="470">
                  <c:v>7.5831167035705749E-2</c:v>
                </c:pt>
                <c:pt idx="471">
                  <c:v>7.4188306799784248E-2</c:v>
                </c:pt>
                <c:pt idx="472">
                  <c:v>8.3424855523128699E-2</c:v>
                </c:pt>
                <c:pt idx="473">
                  <c:v>8.8333160496569529E-2</c:v>
                </c:pt>
                <c:pt idx="474">
                  <c:v>7.2228568486927033E-2</c:v>
                </c:pt>
                <c:pt idx="475">
                  <c:v>6.2705298831995368E-2</c:v>
                </c:pt>
                <c:pt idx="476">
                  <c:v>6.9382789378679338E-2</c:v>
                </c:pt>
                <c:pt idx="477">
                  <c:v>6.3263911325795591E-2</c:v>
                </c:pt>
                <c:pt idx="478">
                  <c:v>5.9091761153718357E-2</c:v>
                </c:pt>
                <c:pt idx="479">
                  <c:v>6.5451237169545193E-2</c:v>
                </c:pt>
                <c:pt idx="480">
                  <c:v>5.6957801558419008E-2</c:v>
                </c:pt>
                <c:pt idx="481">
                  <c:v>6.8730059113295897E-2</c:v>
                </c:pt>
                <c:pt idx="482">
                  <c:v>6.1158325937398811E-2</c:v>
                </c:pt>
                <c:pt idx="483">
                  <c:v>6.9589295278483954E-2</c:v>
                </c:pt>
                <c:pt idx="484">
                  <c:v>4.1700530295011459E-2</c:v>
                </c:pt>
                <c:pt idx="485">
                  <c:v>3.7015117930604031E-2</c:v>
                </c:pt>
                <c:pt idx="486">
                  <c:v>3.8902182970310888E-2</c:v>
                </c:pt>
                <c:pt idx="487">
                  <c:v>3.7959277445370435E-2</c:v>
                </c:pt>
                <c:pt idx="488">
                  <c:v>5.3638437471676063E-2</c:v>
                </c:pt>
                <c:pt idx="489">
                  <c:v>6.1878270954776486E-2</c:v>
                </c:pt>
                <c:pt idx="490">
                  <c:v>6.1796159529800734E-2</c:v>
                </c:pt>
                <c:pt idx="491">
                  <c:v>6.180331664774532E-2</c:v>
                </c:pt>
                <c:pt idx="492">
                  <c:v>5.6634666618855939E-2</c:v>
                </c:pt>
                <c:pt idx="493">
                  <c:v>6.1550485879633396E-2</c:v>
                </c:pt>
                <c:pt idx="494">
                  <c:v>6.4135143531112201E-2</c:v>
                </c:pt>
                <c:pt idx="495">
                  <c:v>6.2804526623283036E-2</c:v>
                </c:pt>
                <c:pt idx="496">
                  <c:v>6.2266771357163471E-2</c:v>
                </c:pt>
                <c:pt idx="497">
                  <c:v>7.006410829000595E-2</c:v>
                </c:pt>
                <c:pt idx="498">
                  <c:v>6.6243904925513519E-2</c:v>
                </c:pt>
                <c:pt idx="499">
                  <c:v>5.5350422470189405E-2</c:v>
                </c:pt>
                <c:pt idx="500">
                  <c:v>7.7757686784230201E-2</c:v>
                </c:pt>
                <c:pt idx="501">
                  <c:v>5.5610326398146601E-2</c:v>
                </c:pt>
                <c:pt idx="502">
                  <c:v>7.7056337172114339E-2</c:v>
                </c:pt>
                <c:pt idx="503">
                  <c:v>6.0536932766895937E-2</c:v>
                </c:pt>
                <c:pt idx="504">
                  <c:v>8.7162177873280122E-2</c:v>
                </c:pt>
                <c:pt idx="505">
                  <c:v>5.3863690865722506E-2</c:v>
                </c:pt>
                <c:pt idx="506">
                  <c:v>6.5403048284435578E-2</c:v>
                </c:pt>
                <c:pt idx="507">
                  <c:v>7.3530298609440964E-2</c:v>
                </c:pt>
                <c:pt idx="508">
                  <c:v>5.0385943850246626E-2</c:v>
                </c:pt>
                <c:pt idx="509">
                  <c:v>6.7049643200434897E-2</c:v>
                </c:pt>
                <c:pt idx="510">
                  <c:v>7.3560363029640613E-2</c:v>
                </c:pt>
                <c:pt idx="511">
                  <c:v>6.6420229718134133E-2</c:v>
                </c:pt>
                <c:pt idx="512">
                  <c:v>8.3768418431216241E-2</c:v>
                </c:pt>
                <c:pt idx="513">
                  <c:v>8.7245670523899269E-2</c:v>
                </c:pt>
                <c:pt idx="514">
                  <c:v>8.801659696530062E-2</c:v>
                </c:pt>
                <c:pt idx="515">
                  <c:v>8.9354302867587915E-2</c:v>
                </c:pt>
                <c:pt idx="516">
                  <c:v>7.1490229521495419E-2</c:v>
                </c:pt>
                <c:pt idx="517">
                  <c:v>7.8225108360666526E-2</c:v>
                </c:pt>
                <c:pt idx="518">
                  <c:v>7.1864160963496316E-3</c:v>
                </c:pt>
                <c:pt idx="519">
                  <c:v>6.1540083307189738E-3</c:v>
                </c:pt>
                <c:pt idx="520">
                  <c:v>7.475085163396746E-3</c:v>
                </c:pt>
                <c:pt idx="521">
                  <c:v>7.832239637268262E-3</c:v>
                </c:pt>
                <c:pt idx="522">
                  <c:v>6.2747393992448634E-3</c:v>
                </c:pt>
                <c:pt idx="523">
                  <c:v>5.3757294807871992E-3</c:v>
                </c:pt>
                <c:pt idx="524">
                  <c:v>7.1035377525712909E-3</c:v>
                </c:pt>
                <c:pt idx="525">
                  <c:v>4.764472032677834E-3</c:v>
                </c:pt>
                <c:pt idx="526">
                  <c:v>5.6261651616231756E-3</c:v>
                </c:pt>
                <c:pt idx="527">
                  <c:v>6.0880630082840144E-3</c:v>
                </c:pt>
                <c:pt idx="528">
                  <c:v>5.3714399407416699E-3</c:v>
                </c:pt>
                <c:pt idx="529">
                  <c:v>5.3800189784651321E-3</c:v>
                </c:pt>
                <c:pt idx="530">
                  <c:v>4.8465094892079516E-3</c:v>
                </c:pt>
                <c:pt idx="531">
                  <c:v>6.1107596064933862E-3</c:v>
                </c:pt>
                <c:pt idx="532">
                  <c:v>5.5365566558018692E-3</c:v>
                </c:pt>
                <c:pt idx="533">
                  <c:v>4.7614651299245714E-3</c:v>
                </c:pt>
                <c:pt idx="534">
                  <c:v>4.5505004182616222E-3</c:v>
                </c:pt>
                <c:pt idx="535">
                  <c:v>4.4219808501603629E-3</c:v>
                </c:pt>
                <c:pt idx="536">
                  <c:v>4.5358880693368697E-3</c:v>
                </c:pt>
                <c:pt idx="537">
                  <c:v>4.6910117357750955E-3</c:v>
                </c:pt>
                <c:pt idx="538">
                  <c:v>4.9731861124102262E-3</c:v>
                </c:pt>
                <c:pt idx="539">
                  <c:v>4.9555824195052552E-3</c:v>
                </c:pt>
                <c:pt idx="540">
                  <c:v>4.8993316912313185E-3</c:v>
                </c:pt>
                <c:pt idx="541">
                  <c:v>5.0491743543612903E-3</c:v>
                </c:pt>
                <c:pt idx="542">
                  <c:v>5.750043122645058E-3</c:v>
                </c:pt>
                <c:pt idx="543">
                  <c:v>5.3079497939119286E-3</c:v>
                </c:pt>
                <c:pt idx="544">
                  <c:v>4.9714687103671832E-3</c:v>
                </c:pt>
                <c:pt idx="545">
                  <c:v>6.3937251276474883E-3</c:v>
                </c:pt>
                <c:pt idx="546">
                  <c:v>4.9839197213144733E-3</c:v>
                </c:pt>
                <c:pt idx="547">
                  <c:v>5.2804917203332765E-3</c:v>
                </c:pt>
                <c:pt idx="548">
                  <c:v>5.40403938254971E-3</c:v>
                </c:pt>
                <c:pt idx="549">
                  <c:v>4.9985170037133647E-3</c:v>
                </c:pt>
                <c:pt idx="550">
                  <c:v>5.4272006569074027E-3</c:v>
                </c:pt>
                <c:pt idx="551">
                  <c:v>5.5601396341681333E-3</c:v>
                </c:pt>
                <c:pt idx="552">
                  <c:v>6.5926751811334209E-3</c:v>
                </c:pt>
                <c:pt idx="553">
                  <c:v>6.3432243758309668E-3</c:v>
                </c:pt>
                <c:pt idx="554">
                  <c:v>4.2831025826596033E-3</c:v>
                </c:pt>
                <c:pt idx="555">
                  <c:v>5.1062641163912197E-3</c:v>
                </c:pt>
                <c:pt idx="556">
                  <c:v>5.2199920258204253E-3</c:v>
                </c:pt>
                <c:pt idx="557">
                  <c:v>3.4915520360868486E-3</c:v>
                </c:pt>
                <c:pt idx="558">
                  <c:v>3.7249920608193958E-3</c:v>
                </c:pt>
                <c:pt idx="559">
                  <c:v>5.8263240790307558E-3</c:v>
                </c:pt>
                <c:pt idx="560">
                  <c:v>5.4748060643482399E-3</c:v>
                </c:pt>
                <c:pt idx="561">
                  <c:v>6.1668536568479319E-3</c:v>
                </c:pt>
                <c:pt idx="562">
                  <c:v>6.5036937347155242E-3</c:v>
                </c:pt>
                <c:pt idx="563">
                  <c:v>5.3898846623444624E-3</c:v>
                </c:pt>
                <c:pt idx="564">
                  <c:v>7.0441461192000164E-3</c:v>
                </c:pt>
                <c:pt idx="565">
                  <c:v>6.6698177957585217E-2</c:v>
                </c:pt>
                <c:pt idx="566">
                  <c:v>6.9763897478116677E-2</c:v>
                </c:pt>
                <c:pt idx="567">
                  <c:v>6.9924750506497865E-2</c:v>
                </c:pt>
                <c:pt idx="568">
                  <c:v>6.330933508345854E-2</c:v>
                </c:pt>
                <c:pt idx="569">
                  <c:v>7.0533972495004066E-2</c:v>
                </c:pt>
                <c:pt idx="570">
                  <c:v>6.7683720162694486E-2</c:v>
                </c:pt>
                <c:pt idx="571">
                  <c:v>6.2381523288072366E-2</c:v>
                </c:pt>
                <c:pt idx="572">
                  <c:v>6.3010802759019546E-2</c:v>
                </c:pt>
                <c:pt idx="573">
                  <c:v>6.4307457640434051E-2</c:v>
                </c:pt>
                <c:pt idx="574">
                  <c:v>5.4928129266799727E-2</c:v>
                </c:pt>
                <c:pt idx="575">
                  <c:v>5.833984034021094E-2</c:v>
                </c:pt>
                <c:pt idx="576">
                  <c:v>5.6008671155473463E-2</c:v>
                </c:pt>
                <c:pt idx="577">
                  <c:v>6.1111544769385316E-2</c:v>
                </c:pt>
                <c:pt idx="578">
                  <c:v>6.0397506867147642E-2</c:v>
                </c:pt>
                <c:pt idx="579">
                  <c:v>6.5577474166442329E-2</c:v>
                </c:pt>
                <c:pt idx="580">
                  <c:v>5.0747764453454018E-2</c:v>
                </c:pt>
                <c:pt idx="581">
                  <c:v>5.2212065572688454E-2</c:v>
                </c:pt>
                <c:pt idx="582">
                  <c:v>4.2341962230206497E-2</c:v>
                </c:pt>
                <c:pt idx="583">
                  <c:v>3.6762995011368635E-2</c:v>
                </c:pt>
                <c:pt idx="584">
                  <c:v>4.4500954368371946E-2</c:v>
                </c:pt>
                <c:pt idx="585">
                  <c:v>4.0085467456368006E-2</c:v>
                </c:pt>
                <c:pt idx="586">
                  <c:v>3.0813376286854162E-2</c:v>
                </c:pt>
                <c:pt idx="587">
                  <c:v>2.4450774963890101E-2</c:v>
                </c:pt>
                <c:pt idx="588">
                  <c:v>2.2233658031453791E-2</c:v>
                </c:pt>
                <c:pt idx="589">
                  <c:v>3.2058812796124325E-2</c:v>
                </c:pt>
                <c:pt idx="590">
                  <c:v>3.3169940760628271E-2</c:v>
                </c:pt>
                <c:pt idx="591">
                  <c:v>3.146744349717797E-2</c:v>
                </c:pt>
                <c:pt idx="592">
                  <c:v>2.8122901004013139E-2</c:v>
                </c:pt>
                <c:pt idx="593">
                  <c:v>2.6992646400427634E-2</c:v>
                </c:pt>
                <c:pt idx="594">
                  <c:v>2.5148097578306852E-2</c:v>
                </c:pt>
                <c:pt idx="595">
                  <c:v>2.9658473376386607E-2</c:v>
                </c:pt>
                <c:pt idx="596">
                  <c:v>2.5859851813630024E-2</c:v>
                </c:pt>
                <c:pt idx="597">
                  <c:v>2.5126374421113557E-2</c:v>
                </c:pt>
                <c:pt idx="598">
                  <c:v>2.6860802480281751E-2</c:v>
                </c:pt>
                <c:pt idx="599">
                  <c:v>2.8052880558940247E-2</c:v>
                </c:pt>
                <c:pt idx="600">
                  <c:v>2.8127378671675741E-2</c:v>
                </c:pt>
                <c:pt idx="601">
                  <c:v>2.9689705459158281E-2</c:v>
                </c:pt>
                <c:pt idx="602">
                  <c:v>3.7156274753568086E-2</c:v>
                </c:pt>
                <c:pt idx="603">
                  <c:v>3.5940984014854238E-2</c:v>
                </c:pt>
                <c:pt idx="604">
                  <c:v>3.101924283378333E-2</c:v>
                </c:pt>
                <c:pt idx="605">
                  <c:v>3.5385305784980121E-2</c:v>
                </c:pt>
                <c:pt idx="606">
                  <c:v>3.5704637623324507E-2</c:v>
                </c:pt>
                <c:pt idx="607">
                  <c:v>2.9209619094320849E-2</c:v>
                </c:pt>
                <c:pt idx="608">
                  <c:v>2.5313240014111432E-2</c:v>
                </c:pt>
                <c:pt idx="609">
                  <c:v>2.4264769912961094E-2</c:v>
                </c:pt>
                <c:pt idx="610">
                  <c:v>2.6426209792342299E-2</c:v>
                </c:pt>
                <c:pt idx="611">
                  <c:v>2.4262716432511544E-2</c:v>
                </c:pt>
                <c:pt idx="612">
                  <c:v>2.6187080087964727E-2</c:v>
                </c:pt>
                <c:pt idx="613">
                  <c:v>2.4778245840188808E-2</c:v>
                </c:pt>
                <c:pt idx="614">
                  <c:v>5.7714717108068511E-3</c:v>
                </c:pt>
                <c:pt idx="615">
                  <c:v>5.3396960275414532E-3</c:v>
                </c:pt>
                <c:pt idx="616">
                  <c:v>4.5633932590352817E-3</c:v>
                </c:pt>
                <c:pt idx="617">
                  <c:v>6.5165287223552361E-3</c:v>
                </c:pt>
                <c:pt idx="618">
                  <c:v>5.5472763501750854E-3</c:v>
                </c:pt>
                <c:pt idx="619">
                  <c:v>5.0599060853999938E-3</c:v>
                </c:pt>
                <c:pt idx="620">
                  <c:v>3.8037820450182525E-3</c:v>
                </c:pt>
                <c:pt idx="621">
                  <c:v>5.0186947921099434E-3</c:v>
                </c:pt>
                <c:pt idx="622">
                  <c:v>4.0972888279671195E-3</c:v>
                </c:pt>
                <c:pt idx="623">
                  <c:v>4.8168747090479979E-3</c:v>
                </c:pt>
                <c:pt idx="624">
                  <c:v>5.5828638381544273E-3</c:v>
                </c:pt>
                <c:pt idx="625">
                  <c:v>4.2254744136944362E-3</c:v>
                </c:pt>
                <c:pt idx="626">
                  <c:v>5.1041180204926375E-3</c:v>
                </c:pt>
                <c:pt idx="627">
                  <c:v>4.4542217736721389E-3</c:v>
                </c:pt>
                <c:pt idx="628">
                  <c:v>5.0968212151105193E-3</c:v>
                </c:pt>
                <c:pt idx="629">
                  <c:v>4.1136367457582047E-3</c:v>
                </c:pt>
                <c:pt idx="630">
                  <c:v>5.0002342987984384E-3</c:v>
                </c:pt>
                <c:pt idx="631">
                  <c:v>6.5858311017090573E-3</c:v>
                </c:pt>
                <c:pt idx="632">
                  <c:v>5.0174068761792319E-3</c:v>
                </c:pt>
                <c:pt idx="633">
                  <c:v>8.652965137048026E-3</c:v>
                </c:pt>
                <c:pt idx="634">
                  <c:v>3.9725081303799833E-3</c:v>
                </c:pt>
                <c:pt idx="635">
                  <c:v>7.3346178242033972E-3</c:v>
                </c:pt>
                <c:pt idx="636">
                  <c:v>4.7137814607106678E-3</c:v>
                </c:pt>
                <c:pt idx="637">
                  <c:v>4.2904130724486416E-3</c:v>
                </c:pt>
                <c:pt idx="638">
                  <c:v>3.9944549202663646E-3</c:v>
                </c:pt>
                <c:pt idx="639">
                  <c:v>5.3379800742402667E-3</c:v>
                </c:pt>
                <c:pt idx="640">
                  <c:v>4.0731960379328889E-3</c:v>
                </c:pt>
                <c:pt idx="641">
                  <c:v>5.9677083943498344E-3</c:v>
                </c:pt>
                <c:pt idx="642">
                  <c:v>4.7494373107199823E-3</c:v>
                </c:pt>
                <c:pt idx="643">
                  <c:v>4.3170738159901724E-3</c:v>
                </c:pt>
                <c:pt idx="644">
                  <c:v>8.2436485200115869E-3</c:v>
                </c:pt>
                <c:pt idx="645">
                  <c:v>6.2220842302862494E-3</c:v>
                </c:pt>
                <c:pt idx="646">
                  <c:v>5.5554231409416684E-3</c:v>
                </c:pt>
                <c:pt idx="647">
                  <c:v>5.8648880026980817E-3</c:v>
                </c:pt>
                <c:pt idx="648">
                  <c:v>4.22289386904642E-3</c:v>
                </c:pt>
                <c:pt idx="649">
                  <c:v>6.0139696298782451E-3</c:v>
                </c:pt>
                <c:pt idx="650">
                  <c:v>5.6771780131927903E-3</c:v>
                </c:pt>
                <c:pt idx="651">
                  <c:v>4.3067537223186476E-3</c:v>
                </c:pt>
                <c:pt idx="652">
                  <c:v>5.4469296571335356E-3</c:v>
                </c:pt>
                <c:pt idx="653">
                  <c:v>4.5715585268972124E-3</c:v>
                </c:pt>
                <c:pt idx="654">
                  <c:v>5.6163048438289892E-3</c:v>
                </c:pt>
                <c:pt idx="655">
                  <c:v>5.0006636215087557E-3</c:v>
                </c:pt>
                <c:pt idx="656">
                  <c:v>5.2843531168308561E-3</c:v>
                </c:pt>
                <c:pt idx="657">
                  <c:v>3.9578763209500252E-3</c:v>
                </c:pt>
                <c:pt idx="658">
                  <c:v>3.8808360173577341E-3</c:v>
                </c:pt>
                <c:pt idx="659">
                  <c:v>4.609804316923866E-3</c:v>
                </c:pt>
                <c:pt idx="660">
                  <c:v>4.1643974105550615E-3</c:v>
                </c:pt>
                <c:pt idx="661">
                  <c:v>4.9285314519348011E-3</c:v>
                </c:pt>
                <c:pt idx="662">
                  <c:v>3.3701534676316466E-2</c:v>
                </c:pt>
                <c:pt idx="663">
                  <c:v>3.5858217426220369E-2</c:v>
                </c:pt>
                <c:pt idx="664">
                  <c:v>3.9251476179355614E-2</c:v>
                </c:pt>
                <c:pt idx="665">
                  <c:v>3.8631684706240739E-2</c:v>
                </c:pt>
                <c:pt idx="666">
                  <c:v>3.7202519553315078E-2</c:v>
                </c:pt>
                <c:pt idx="667">
                  <c:v>3.2392288547308121E-2</c:v>
                </c:pt>
                <c:pt idx="668">
                  <c:v>3.1178530314712145E-2</c:v>
                </c:pt>
                <c:pt idx="669">
                  <c:v>4.0695675710178125E-2</c:v>
                </c:pt>
                <c:pt idx="670">
                  <c:v>3.7926644580501587E-2</c:v>
                </c:pt>
                <c:pt idx="671">
                  <c:v>4.3119319585860238E-2</c:v>
                </c:pt>
                <c:pt idx="672">
                  <c:v>3.7804448538586249E-2</c:v>
                </c:pt>
                <c:pt idx="673">
                  <c:v>2.9518915594722479E-2</c:v>
                </c:pt>
                <c:pt idx="674">
                  <c:v>3.0642218414760641E-2</c:v>
                </c:pt>
                <c:pt idx="675">
                  <c:v>2.8502117918628229E-2</c:v>
                </c:pt>
                <c:pt idx="676">
                  <c:v>3.2954625007126412E-2</c:v>
                </c:pt>
                <c:pt idx="677">
                  <c:v>2.6013270766941154E-2</c:v>
                </c:pt>
                <c:pt idx="678">
                  <c:v>2.7350831137771207E-2</c:v>
                </c:pt>
                <c:pt idx="679">
                  <c:v>2.5386570985211479E-2</c:v>
                </c:pt>
                <c:pt idx="680">
                  <c:v>2.5543023617532065E-2</c:v>
                </c:pt>
                <c:pt idx="681">
                  <c:v>3.0858278884122275E-2</c:v>
                </c:pt>
                <c:pt idx="682">
                  <c:v>3.2870884634173266E-2</c:v>
                </c:pt>
                <c:pt idx="683">
                  <c:v>2.7369181169473344E-2</c:v>
                </c:pt>
                <c:pt idx="684">
                  <c:v>2.9578151991431923E-2</c:v>
                </c:pt>
                <c:pt idx="685">
                  <c:v>2.8216922331495427E-2</c:v>
                </c:pt>
                <c:pt idx="686">
                  <c:v>2.7292921509248842E-2</c:v>
                </c:pt>
                <c:pt idx="687">
                  <c:v>4.1005990964878711E-2</c:v>
                </c:pt>
                <c:pt idx="688">
                  <c:v>3.8032493487498237E-2</c:v>
                </c:pt>
                <c:pt idx="689">
                  <c:v>3.9804214036642839E-2</c:v>
                </c:pt>
                <c:pt idx="690">
                  <c:v>7.9705340276273948E-2</c:v>
                </c:pt>
                <c:pt idx="691">
                  <c:v>4.0592847234764709E-2</c:v>
                </c:pt>
                <c:pt idx="692">
                  <c:v>3.6410895080750232E-2</c:v>
                </c:pt>
                <c:pt idx="693">
                  <c:v>0.13205530525143291</c:v>
                </c:pt>
                <c:pt idx="694">
                  <c:v>2.8648914517968502E-2</c:v>
                </c:pt>
                <c:pt idx="695">
                  <c:v>3.5996552728425966E-2</c:v>
                </c:pt>
                <c:pt idx="696">
                  <c:v>4.2045609892510112E-2</c:v>
                </c:pt>
                <c:pt idx="697">
                  <c:v>3.2744841038327602E-2</c:v>
                </c:pt>
                <c:pt idx="698">
                  <c:v>3.5252381739746944E-2</c:v>
                </c:pt>
                <c:pt idx="699">
                  <c:v>3.8210707037740557E-2</c:v>
                </c:pt>
                <c:pt idx="700">
                  <c:v>4.102970020941845E-2</c:v>
                </c:pt>
                <c:pt idx="701">
                  <c:v>3.2522867067349678E-2</c:v>
                </c:pt>
                <c:pt idx="702">
                  <c:v>2.9692139033621397E-2</c:v>
                </c:pt>
                <c:pt idx="703">
                  <c:v>3.5418930721955913E-2</c:v>
                </c:pt>
                <c:pt idx="704">
                  <c:v>2.7920136405802799E-2</c:v>
                </c:pt>
                <c:pt idx="705">
                  <c:v>2.8489509802761666E-2</c:v>
                </c:pt>
                <c:pt idx="706">
                  <c:v>3.0235701099717297E-2</c:v>
                </c:pt>
                <c:pt idx="707">
                  <c:v>2.983366848806113E-2</c:v>
                </c:pt>
                <c:pt idx="708">
                  <c:v>3.1963198760144661E-2</c:v>
                </c:pt>
                <c:pt idx="709">
                  <c:v>2.5988318307880617E-2</c:v>
                </c:pt>
                <c:pt idx="710">
                  <c:v>1.7556265681656781E-2</c:v>
                </c:pt>
                <c:pt idx="711">
                  <c:v>5.0122551742624363E-3</c:v>
                </c:pt>
                <c:pt idx="712">
                  <c:v>4.0843821423814566E-3</c:v>
                </c:pt>
                <c:pt idx="713">
                  <c:v>4.3132038096018403E-3</c:v>
                </c:pt>
                <c:pt idx="714">
                  <c:v>4.3071837311179145E-3</c:v>
                </c:pt>
                <c:pt idx="715">
                  <c:v>5.2384431804830744E-3</c:v>
                </c:pt>
                <c:pt idx="716">
                  <c:v>4.2435377969083157E-3</c:v>
                </c:pt>
                <c:pt idx="717">
                  <c:v>4.6755448266535575E-3</c:v>
                </c:pt>
                <c:pt idx="718">
                  <c:v>4.4636786572360898E-3</c:v>
                </c:pt>
                <c:pt idx="719">
                  <c:v>1.1040255460689477E-2</c:v>
                </c:pt>
                <c:pt idx="720">
                  <c:v>6.3868779122112961E-3</c:v>
                </c:pt>
                <c:pt idx="721">
                  <c:v>6.0109713658052762E-3</c:v>
                </c:pt>
                <c:pt idx="722">
                  <c:v>8.080410599689735E-3</c:v>
                </c:pt>
                <c:pt idx="723">
                  <c:v>7.4584363932480224E-3</c:v>
                </c:pt>
                <c:pt idx="724">
                  <c:v>6.6649591846287834E-3</c:v>
                </c:pt>
                <c:pt idx="725">
                  <c:v>6.8629300830251724E-3</c:v>
                </c:pt>
                <c:pt idx="726">
                  <c:v>8.0761476909816353E-3</c:v>
                </c:pt>
                <c:pt idx="727">
                  <c:v>7.4025089283382434E-3</c:v>
                </c:pt>
                <c:pt idx="728">
                  <c:v>1.5858739617468785E-2</c:v>
                </c:pt>
                <c:pt idx="729">
                  <c:v>6.804360621292669E-3</c:v>
                </c:pt>
                <c:pt idx="730">
                  <c:v>1.0004671747046336E-2</c:v>
                </c:pt>
                <c:pt idx="731">
                  <c:v>1.2482476305860779E-2</c:v>
                </c:pt>
                <c:pt idx="732">
                  <c:v>8.1059871732625365E-3</c:v>
                </c:pt>
                <c:pt idx="733">
                  <c:v>8.8568405801150631E-3</c:v>
                </c:pt>
                <c:pt idx="734">
                  <c:v>6.8890059152605402E-3</c:v>
                </c:pt>
                <c:pt idx="735">
                  <c:v>7.3179636682355409E-3</c:v>
                </c:pt>
                <c:pt idx="736">
                  <c:v>6.1925431693659041E-3</c:v>
                </c:pt>
                <c:pt idx="737">
                  <c:v>9.2485745368691211E-3</c:v>
                </c:pt>
                <c:pt idx="738">
                  <c:v>7.8279742918779486E-3</c:v>
                </c:pt>
                <c:pt idx="739">
                  <c:v>6.8180417865356443E-3</c:v>
                </c:pt>
                <c:pt idx="740">
                  <c:v>6.7081527574578978E-3</c:v>
                </c:pt>
                <c:pt idx="741">
                  <c:v>6.504549412359388E-3</c:v>
                </c:pt>
                <c:pt idx="742">
                  <c:v>5.9295820055270676E-3</c:v>
                </c:pt>
                <c:pt idx="743">
                  <c:v>6.2302183724962075E-3</c:v>
                </c:pt>
                <c:pt idx="744">
                  <c:v>6.4763111599107411E-3</c:v>
                </c:pt>
                <c:pt idx="745">
                  <c:v>5.8717434528646195E-3</c:v>
                </c:pt>
                <c:pt idx="746">
                  <c:v>5.8254670640541821E-3</c:v>
                </c:pt>
                <c:pt idx="747">
                  <c:v>4.8233172245820905E-3</c:v>
                </c:pt>
                <c:pt idx="748">
                  <c:v>4.4606696711663512E-3</c:v>
                </c:pt>
                <c:pt idx="749">
                  <c:v>4.6501950899468575E-3</c:v>
                </c:pt>
                <c:pt idx="750">
                  <c:v>4.7249510780022815E-3</c:v>
                </c:pt>
                <c:pt idx="751">
                  <c:v>5.2822079007930163E-3</c:v>
                </c:pt>
                <c:pt idx="752">
                  <c:v>5.5099706719231208E-3</c:v>
                </c:pt>
                <c:pt idx="753">
                  <c:v>4.4963463070157193E-3</c:v>
                </c:pt>
                <c:pt idx="754">
                  <c:v>4.0267275966687941E-3</c:v>
                </c:pt>
                <c:pt idx="755">
                  <c:v>5.1933866553077529E-3</c:v>
                </c:pt>
                <c:pt idx="756">
                  <c:v>5.1006842449962068E-3</c:v>
                </c:pt>
                <c:pt idx="757">
                  <c:v>4.9504299841557605E-3</c:v>
                </c:pt>
                <c:pt idx="758">
                  <c:v>5.2354395575611775E-3</c:v>
                </c:pt>
                <c:pt idx="759">
                  <c:v>3.7551588609454283E-2</c:v>
                </c:pt>
                <c:pt idx="760">
                  <c:v>3.573623790579479E-2</c:v>
                </c:pt>
                <c:pt idx="761">
                  <c:v>3.7381073940485884E-2</c:v>
                </c:pt>
                <c:pt idx="762">
                  <c:v>3.8501340527285793E-2</c:v>
                </c:pt>
                <c:pt idx="763">
                  <c:v>3.9015337100362847E-2</c:v>
                </c:pt>
                <c:pt idx="764">
                  <c:v>3.0506619973453948E-2</c:v>
                </c:pt>
                <c:pt idx="765">
                  <c:v>3.7630050671442435E-2</c:v>
                </c:pt>
                <c:pt idx="766">
                  <c:v>4.7872730407273925E-2</c:v>
                </c:pt>
                <c:pt idx="767">
                  <c:v>5.5486509219937571E-2</c:v>
                </c:pt>
                <c:pt idx="768">
                  <c:v>4.3894895466056877E-2</c:v>
                </c:pt>
                <c:pt idx="769">
                  <c:v>4.5842256570649227E-2</c:v>
                </c:pt>
                <c:pt idx="770">
                  <c:v>3.6339402299409469E-2</c:v>
                </c:pt>
                <c:pt idx="771">
                  <c:v>3.2193524276223968E-2</c:v>
                </c:pt>
                <c:pt idx="772">
                  <c:v>3.4188726463769858E-2</c:v>
                </c:pt>
                <c:pt idx="773">
                  <c:v>3.1338567515252838E-2</c:v>
                </c:pt>
                <c:pt idx="774">
                  <c:v>3.0167641103365516E-2</c:v>
                </c:pt>
                <c:pt idx="775">
                  <c:v>3.4104420745714931E-2</c:v>
                </c:pt>
                <c:pt idx="776">
                  <c:v>3.1335739086796183E-2</c:v>
                </c:pt>
                <c:pt idx="777">
                  <c:v>3.1542973710047453E-2</c:v>
                </c:pt>
                <c:pt idx="778">
                  <c:v>2.8300344128044646E-2</c:v>
                </c:pt>
                <c:pt idx="779">
                  <c:v>3.0117399501702568E-2</c:v>
                </c:pt>
                <c:pt idx="780">
                  <c:v>2.7073039300207848E-2</c:v>
                </c:pt>
                <c:pt idx="781">
                  <c:v>2.9227078699473618E-2</c:v>
                </c:pt>
                <c:pt idx="782">
                  <c:v>2.7099561611460796E-2</c:v>
                </c:pt>
                <c:pt idx="783">
                  <c:v>2.6199755222785621E-2</c:v>
                </c:pt>
                <c:pt idx="784">
                  <c:v>2.8068758277473928E-2</c:v>
                </c:pt>
                <c:pt idx="785">
                  <c:v>1.9307421073729094E-2</c:v>
                </c:pt>
                <c:pt idx="786">
                  <c:v>2.6245137349448312E-2</c:v>
                </c:pt>
                <c:pt idx="787">
                  <c:v>3.9932583262239724E-2</c:v>
                </c:pt>
                <c:pt idx="788">
                  <c:v>4.3576424756376235E-2</c:v>
                </c:pt>
                <c:pt idx="789">
                  <c:v>3.2894639553550771E-2</c:v>
                </c:pt>
                <c:pt idx="790">
                  <c:v>3.3726047895867549E-2</c:v>
                </c:pt>
                <c:pt idx="791">
                  <c:v>3.6173605592048783E-2</c:v>
                </c:pt>
                <c:pt idx="792">
                  <c:v>3.6292266542655598E-2</c:v>
                </c:pt>
                <c:pt idx="793">
                  <c:v>1.6639790460847036E-2</c:v>
                </c:pt>
                <c:pt idx="794">
                  <c:v>1.9498467621842822E-2</c:v>
                </c:pt>
                <c:pt idx="795">
                  <c:v>2.0978304790253744E-2</c:v>
                </c:pt>
                <c:pt idx="796">
                  <c:v>3.6251917466733653E-2</c:v>
                </c:pt>
                <c:pt idx="797">
                  <c:v>4.1504402913674063E-2</c:v>
                </c:pt>
                <c:pt idx="798">
                  <c:v>4.3944745816003133E-2</c:v>
                </c:pt>
                <c:pt idx="799">
                  <c:v>3.9915548789294701E-2</c:v>
                </c:pt>
                <c:pt idx="800">
                  <c:v>4.0517292339443442E-2</c:v>
                </c:pt>
                <c:pt idx="801">
                  <c:v>3.1282399558231228E-2</c:v>
                </c:pt>
                <c:pt idx="802">
                  <c:v>2.5424255829497328E-2</c:v>
                </c:pt>
                <c:pt idx="803">
                  <c:v>4.5930956558669044E-2</c:v>
                </c:pt>
                <c:pt idx="804">
                  <c:v>4.8163968227256646E-2</c:v>
                </c:pt>
                <c:pt idx="805">
                  <c:v>4.4222154637581897E-2</c:v>
                </c:pt>
                <c:pt idx="806">
                  <c:v>5.9459280759199089E-2</c:v>
                </c:pt>
                <c:pt idx="807">
                  <c:v>7.2128996550684362E-3</c:v>
                </c:pt>
                <c:pt idx="808">
                  <c:v>8.1021507832495041E-3</c:v>
                </c:pt>
                <c:pt idx="809">
                  <c:v>6.5918196771037234E-3</c:v>
                </c:pt>
                <c:pt idx="810">
                  <c:v>6.9291852802909528E-3</c:v>
                </c:pt>
                <c:pt idx="811">
                  <c:v>1.1846071792909793E-2</c:v>
                </c:pt>
                <c:pt idx="812">
                  <c:v>6.606790754323002E-3</c:v>
                </c:pt>
                <c:pt idx="813">
                  <c:v>7.1556589690518766E-3</c:v>
                </c:pt>
                <c:pt idx="814">
                  <c:v>8.987457830114785E-3</c:v>
                </c:pt>
                <c:pt idx="815">
                  <c:v>9.8463401345540019E-3</c:v>
                </c:pt>
                <c:pt idx="816">
                  <c:v>7.4665474122781001E-3</c:v>
                </c:pt>
                <c:pt idx="817">
                  <c:v>8.4098068765539238E-3</c:v>
                </c:pt>
                <c:pt idx="818">
                  <c:v>6.3526402156083165E-3</c:v>
                </c:pt>
                <c:pt idx="819">
                  <c:v>6.6649591846287834E-3</c:v>
                </c:pt>
                <c:pt idx="820">
                  <c:v>7.1039650010843065E-3</c:v>
                </c:pt>
                <c:pt idx="821">
                  <c:v>6.4275316715244222E-3</c:v>
                </c:pt>
                <c:pt idx="822">
                  <c:v>8.8844989766074887E-3</c:v>
                </c:pt>
                <c:pt idx="823">
                  <c:v>5.5078265700461921E-3</c:v>
                </c:pt>
                <c:pt idx="824">
                  <c:v>7.9691349740727817E-3</c:v>
                </c:pt>
                <c:pt idx="825">
                  <c:v>7.8147514549420753E-3</c:v>
                </c:pt>
                <c:pt idx="826">
                  <c:v>6.1450163763638365E-3</c:v>
                </c:pt>
                <c:pt idx="827">
                  <c:v>8.0262685500879644E-3</c:v>
                </c:pt>
                <c:pt idx="828">
                  <c:v>6.0615107652924024E-3</c:v>
                </c:pt>
                <c:pt idx="829">
                  <c:v>0.15449092295467884</c:v>
                </c:pt>
                <c:pt idx="830">
                  <c:v>6.4412247126151706E-3</c:v>
                </c:pt>
                <c:pt idx="831">
                  <c:v>5.6017283117830155E-3</c:v>
                </c:pt>
                <c:pt idx="832">
                  <c:v>5.7286134771198649E-3</c:v>
                </c:pt>
                <c:pt idx="833">
                  <c:v>5.6827504826830232E-3</c:v>
                </c:pt>
                <c:pt idx="834">
                  <c:v>6.3821703889756784E-3</c:v>
                </c:pt>
                <c:pt idx="835">
                  <c:v>5.4434985910392E-3</c:v>
                </c:pt>
                <c:pt idx="836">
                  <c:v>1.0401732482617302E-2</c:v>
                </c:pt>
                <c:pt idx="837">
                  <c:v>6.4801619388171645E-3</c:v>
                </c:pt>
                <c:pt idx="838">
                  <c:v>7.4977093921651484E-3</c:v>
                </c:pt>
                <c:pt idx="839">
                  <c:v>7.4375178029464058E-3</c:v>
                </c:pt>
                <c:pt idx="840">
                  <c:v>7.9900279743396821E-3</c:v>
                </c:pt>
                <c:pt idx="841">
                  <c:v>5.552850486683223E-3</c:v>
                </c:pt>
                <c:pt idx="842">
                  <c:v>3.4984450522270406E-3</c:v>
                </c:pt>
                <c:pt idx="843">
                  <c:v>2.8776350201115781E-3</c:v>
                </c:pt>
                <c:pt idx="844">
                  <c:v>3.3316895370798199E-3</c:v>
                </c:pt>
                <c:pt idx="845">
                  <c:v>8.1882482712386847E-3</c:v>
                </c:pt>
                <c:pt idx="846">
                  <c:v>6.7821278085220269E-3</c:v>
                </c:pt>
                <c:pt idx="847">
                  <c:v>2.5021317988309761E-3</c:v>
                </c:pt>
                <c:pt idx="848">
                  <c:v>8.7759828584706087E-3</c:v>
                </c:pt>
                <c:pt idx="849">
                  <c:v>5.1878079031692529E-3</c:v>
                </c:pt>
                <c:pt idx="850">
                  <c:v>5.1418877592046934E-3</c:v>
                </c:pt>
                <c:pt idx="851">
                  <c:v>5.0302858636184179E-3</c:v>
                </c:pt>
                <c:pt idx="852">
                  <c:v>7.5237471400756983E-3</c:v>
                </c:pt>
                <c:pt idx="853">
                  <c:v>7.5224666315949372E-3</c:v>
                </c:pt>
                <c:pt idx="854">
                  <c:v>4.9187000527813114E-2</c:v>
                </c:pt>
                <c:pt idx="855">
                  <c:v>4.6151651028459542E-2</c:v>
                </c:pt>
                <c:pt idx="856">
                  <c:v>5.6482923646772897E-2</c:v>
                </c:pt>
                <c:pt idx="857">
                  <c:v>5.6367746605526042E-2</c:v>
                </c:pt>
                <c:pt idx="858">
                  <c:v>5.4417309850730858E-2</c:v>
                </c:pt>
                <c:pt idx="859">
                  <c:v>4.6525208825640055E-2</c:v>
                </c:pt>
                <c:pt idx="860">
                  <c:v>4.0270757485078877E-2</c:v>
                </c:pt>
                <c:pt idx="861">
                  <c:v>4.3248678454502316E-2</c:v>
                </c:pt>
                <c:pt idx="862">
                  <c:v>4.1876062182611876E-2</c:v>
                </c:pt>
                <c:pt idx="863">
                  <c:v>4.0851849317593024E-2</c:v>
                </c:pt>
                <c:pt idx="864">
                  <c:v>4.1925356132008609E-2</c:v>
                </c:pt>
                <c:pt idx="865">
                  <c:v>3.9301465632433676E-2</c:v>
                </c:pt>
                <c:pt idx="866">
                  <c:v>3.8036074390332124E-2</c:v>
                </c:pt>
                <c:pt idx="867">
                  <c:v>3.8262009435449232E-2</c:v>
                </c:pt>
                <c:pt idx="868">
                  <c:v>3.3475224375597662E-2</c:v>
                </c:pt>
                <c:pt idx="869">
                  <c:v>3.5380502010026647E-2</c:v>
                </c:pt>
                <c:pt idx="870">
                  <c:v>3.8035676513697471E-2</c:v>
                </c:pt>
                <c:pt idx="871">
                  <c:v>3.3401235929968576E-2</c:v>
                </c:pt>
                <c:pt idx="872">
                  <c:v>2.6436834723798569E-2</c:v>
                </c:pt>
                <c:pt idx="873">
                  <c:v>2.555694598984538E-2</c:v>
                </c:pt>
                <c:pt idx="874">
                  <c:v>2.6529178949216897E-2</c:v>
                </c:pt>
                <c:pt idx="875">
                  <c:v>3.1423411804463473E-2</c:v>
                </c:pt>
                <c:pt idx="876">
                  <c:v>3.1684305127393994E-2</c:v>
                </c:pt>
                <c:pt idx="877">
                  <c:v>2.6882030830225105E-2</c:v>
                </c:pt>
                <c:pt idx="878">
                  <c:v>3.311239952570183E-2</c:v>
                </c:pt>
                <c:pt idx="879">
                  <c:v>3.0964246786767322E-2</c:v>
                </c:pt>
                <c:pt idx="880">
                  <c:v>3.7716462021032161E-2</c:v>
                </c:pt>
                <c:pt idx="881">
                  <c:v>4.003438002143201E-2</c:v>
                </c:pt>
                <c:pt idx="882">
                  <c:v>4.3745310074683748E-2</c:v>
                </c:pt>
                <c:pt idx="883">
                  <c:v>4.1958872821998831E-2</c:v>
                </c:pt>
                <c:pt idx="884">
                  <c:v>4.6612989260831787E-2</c:v>
                </c:pt>
                <c:pt idx="885">
                  <c:v>4.3511995376864857E-2</c:v>
                </c:pt>
                <c:pt idx="886">
                  <c:v>2.7044474999653401E-2</c:v>
                </c:pt>
                <c:pt idx="887">
                  <c:v>2.2913536559217126E-2</c:v>
                </c:pt>
                <c:pt idx="888">
                  <c:v>2.1394816489419186E-2</c:v>
                </c:pt>
                <c:pt idx="889">
                  <c:v>2.3660628075619482E-2</c:v>
                </c:pt>
                <c:pt idx="890">
                  <c:v>5.0686322588173217E-2</c:v>
                </c:pt>
                <c:pt idx="891">
                  <c:v>4.3519853130038491E-2</c:v>
                </c:pt>
                <c:pt idx="892">
                  <c:v>3.5238766739483278E-2</c:v>
                </c:pt>
                <c:pt idx="893">
                  <c:v>2.4076630802828961E-2</c:v>
                </c:pt>
                <c:pt idx="894">
                  <c:v>2.5220636853184802E-2</c:v>
                </c:pt>
                <c:pt idx="895">
                  <c:v>3.3447882287983843E-2</c:v>
                </c:pt>
                <c:pt idx="896">
                  <c:v>4.5656201276705673E-2</c:v>
                </c:pt>
                <c:pt idx="897">
                  <c:v>4.9089654170589428E-2</c:v>
                </c:pt>
                <c:pt idx="898">
                  <c:v>5.8233510376367398E-2</c:v>
                </c:pt>
                <c:pt idx="899">
                  <c:v>5.1468959560003226E-2</c:v>
                </c:pt>
                <c:pt idx="900">
                  <c:v>3.9419275153078664E-2</c:v>
                </c:pt>
                <c:pt idx="901">
                  <c:v>3.7211688195904015E-2</c:v>
                </c:pt>
                <c:pt idx="902">
                  <c:v>6.3962928056040856E-3</c:v>
                </c:pt>
                <c:pt idx="903">
                  <c:v>6.5250851700528693E-3</c:v>
                </c:pt>
                <c:pt idx="904">
                  <c:v>9.2290174868310676E-3</c:v>
                </c:pt>
                <c:pt idx="905">
                  <c:v>8.4796596132545119E-3</c:v>
                </c:pt>
                <c:pt idx="906">
                  <c:v>5.4272006569074027E-3</c:v>
                </c:pt>
                <c:pt idx="907">
                  <c:v>5.5176893510346095E-3</c:v>
                </c:pt>
                <c:pt idx="908">
                  <c:v>5.0401594953462751E-3</c:v>
                </c:pt>
                <c:pt idx="909">
                  <c:v>5.1307288600972332E-3</c:v>
                </c:pt>
                <c:pt idx="910">
                  <c:v>5.2114098263165232E-3</c:v>
                </c:pt>
                <c:pt idx="911">
                  <c:v>4.6570697410412221E-3</c:v>
                </c:pt>
                <c:pt idx="912">
                  <c:v>4.843073676301885E-3</c:v>
                </c:pt>
                <c:pt idx="913">
                  <c:v>4.9955117209744861E-3</c:v>
                </c:pt>
                <c:pt idx="914">
                  <c:v>5.5108283097100507E-3</c:v>
                </c:pt>
                <c:pt idx="915">
                  <c:v>4.1859043773553204E-3</c:v>
                </c:pt>
                <c:pt idx="916">
                  <c:v>4.4065043566676489E-3</c:v>
                </c:pt>
                <c:pt idx="917">
                  <c:v>4.7133518543086622E-3</c:v>
                </c:pt>
                <c:pt idx="918">
                  <c:v>5.263329542729938E-3</c:v>
                </c:pt>
                <c:pt idx="919">
                  <c:v>9.0920934717296925E-3</c:v>
                </c:pt>
                <c:pt idx="920">
                  <c:v>2.6415806611730028E-3</c:v>
                </c:pt>
                <c:pt idx="921">
                  <c:v>4.8069959996051006E-3</c:v>
                </c:pt>
                <c:pt idx="922">
                  <c:v>4.2048296271622789E-3</c:v>
                </c:pt>
                <c:pt idx="923">
                  <c:v>4.7872379065734124E-3</c:v>
                </c:pt>
                <c:pt idx="924">
                  <c:v>4.5792939022116577E-3</c:v>
                </c:pt>
                <c:pt idx="925">
                  <c:v>4.2676211392293191E-3</c:v>
                </c:pt>
                <c:pt idx="926">
                  <c:v>3.7994769505894704E-3</c:v>
                </c:pt>
                <c:pt idx="927">
                  <c:v>4.0228550021231884E-3</c:v>
                </c:pt>
                <c:pt idx="928">
                  <c:v>4.8885959915004103E-3</c:v>
                </c:pt>
                <c:pt idx="929">
                  <c:v>4.7236622906680495E-3</c:v>
                </c:pt>
                <c:pt idx="930">
                  <c:v>5.843035533055616E-3</c:v>
                </c:pt>
                <c:pt idx="931">
                  <c:v>4.1278331225045543E-3</c:v>
                </c:pt>
                <c:pt idx="932">
                  <c:v>4.5543683106824577E-3</c:v>
                </c:pt>
                <c:pt idx="933">
                  <c:v>3.5983814939056689E-3</c:v>
                </c:pt>
                <c:pt idx="934">
                  <c:v>3.7792424351126498E-3</c:v>
                </c:pt>
                <c:pt idx="935">
                  <c:v>3.6349903830537557E-3</c:v>
                </c:pt>
                <c:pt idx="936">
                  <c:v>3.6444651222509086E-3</c:v>
                </c:pt>
                <c:pt idx="937">
                  <c:v>3.4532076368373236E-3</c:v>
                </c:pt>
                <c:pt idx="938">
                  <c:v>4.2714915518252015E-3</c:v>
                </c:pt>
                <c:pt idx="939">
                  <c:v>4.0353332386953034E-3</c:v>
                </c:pt>
                <c:pt idx="940">
                  <c:v>3.9699260821833126E-3</c:v>
                </c:pt>
                <c:pt idx="941">
                  <c:v>2.9781457301486223E-3</c:v>
                </c:pt>
                <c:pt idx="942">
                  <c:v>4.6480467391627331E-3</c:v>
                </c:pt>
                <c:pt idx="943">
                  <c:v>4.2203133090649141E-3</c:v>
                </c:pt>
                <c:pt idx="944">
                  <c:v>3.8907358160015794E-3</c:v>
                </c:pt>
                <c:pt idx="945">
                  <c:v>3.7930192289280852E-3</c:v>
                </c:pt>
                <c:pt idx="946">
                  <c:v>4.9117847704539712E-3</c:v>
                </c:pt>
                <c:pt idx="947">
                  <c:v>3.7938802640309593E-3</c:v>
                </c:pt>
                <c:pt idx="948">
                  <c:v>4.2693413268636241E-3</c:v>
                </c:pt>
                <c:pt idx="949">
                  <c:v>4.8992673952815924E-2</c:v>
                </c:pt>
                <c:pt idx="950">
                  <c:v>3.3190058274806589E-2</c:v>
                </c:pt>
                <c:pt idx="951">
                  <c:v>4.6998233036403277E-2</c:v>
                </c:pt>
                <c:pt idx="952">
                  <c:v>4.8686074045259702E-2</c:v>
                </c:pt>
                <c:pt idx="953">
                  <c:v>4.6533012249485861E-2</c:v>
                </c:pt>
                <c:pt idx="954">
                  <c:v>4.1613329658650521E-2</c:v>
                </c:pt>
                <c:pt idx="955">
                  <c:v>3.8089386562622791E-2</c:v>
                </c:pt>
                <c:pt idx="956">
                  <c:v>4.0902445428202927E-2</c:v>
                </c:pt>
                <c:pt idx="957">
                  <c:v>4.8627057832929178E-2</c:v>
                </c:pt>
                <c:pt idx="958">
                  <c:v>4.0509775688583258E-2</c:v>
                </c:pt>
                <c:pt idx="959">
                  <c:v>3.1536107869835892E-2</c:v>
                </c:pt>
                <c:pt idx="960">
                  <c:v>4.0428666706596568E-2</c:v>
                </c:pt>
                <c:pt idx="961">
                  <c:v>2.9806907141700333E-2</c:v>
                </c:pt>
                <c:pt idx="962">
                  <c:v>5.0464827880733074E-2</c:v>
                </c:pt>
                <c:pt idx="963">
                  <c:v>2.0919539114651914E-2</c:v>
                </c:pt>
                <c:pt idx="964">
                  <c:v>4.8939519606527655E-2</c:v>
                </c:pt>
                <c:pt idx="965">
                  <c:v>2.7596249614622068E-2</c:v>
                </c:pt>
                <c:pt idx="966">
                  <c:v>4.3868986725287613E-2</c:v>
                </c:pt>
                <c:pt idx="967">
                  <c:v>4.023275571836251E-2</c:v>
                </c:pt>
                <c:pt idx="968">
                  <c:v>4.6300019652969218E-2</c:v>
                </c:pt>
                <c:pt idx="969">
                  <c:v>4.0349521391527483E-2</c:v>
                </c:pt>
                <c:pt idx="970">
                  <c:v>5.078253901547878E-2</c:v>
                </c:pt>
                <c:pt idx="971">
                  <c:v>4.6600506014458552E-2</c:v>
                </c:pt>
                <c:pt idx="972">
                  <c:v>3.7743138549582798E-2</c:v>
                </c:pt>
                <c:pt idx="973">
                  <c:v>4.6246534702124184E-2</c:v>
                </c:pt>
                <c:pt idx="974">
                  <c:v>4.6043466160177723E-2</c:v>
                </c:pt>
                <c:pt idx="975">
                  <c:v>4.2511328186613344E-2</c:v>
                </c:pt>
                <c:pt idx="976">
                  <c:v>4.2307687129529474E-2</c:v>
                </c:pt>
                <c:pt idx="977">
                  <c:v>3.9217353089654662E-2</c:v>
                </c:pt>
                <c:pt idx="978">
                  <c:v>4.6799415055245659E-2</c:v>
                </c:pt>
                <c:pt idx="979">
                  <c:v>4.3889007251603121E-2</c:v>
                </c:pt>
                <c:pt idx="980">
                  <c:v>4.5062323893225474E-2</c:v>
                </c:pt>
                <c:pt idx="981">
                  <c:v>5.5131294371631855E-2</c:v>
                </c:pt>
                <c:pt idx="982">
                  <c:v>5.2494251349429095E-2</c:v>
                </c:pt>
                <c:pt idx="983">
                  <c:v>5.4835123697047843E-2</c:v>
                </c:pt>
                <c:pt idx="984">
                  <c:v>6.6492900922350134E-2</c:v>
                </c:pt>
                <c:pt idx="985">
                  <c:v>5.589947778569318E-2</c:v>
                </c:pt>
                <c:pt idx="986">
                  <c:v>5.434910408230164E-2</c:v>
                </c:pt>
                <c:pt idx="987">
                  <c:v>5.6739864290313614E-2</c:v>
                </c:pt>
                <c:pt idx="988">
                  <c:v>5.5358068923855711E-2</c:v>
                </c:pt>
                <c:pt idx="989">
                  <c:v>4.4864967500599845E-2</c:v>
                </c:pt>
                <c:pt idx="990">
                  <c:v>4.3926297928256156E-2</c:v>
                </c:pt>
                <c:pt idx="991">
                  <c:v>4.3354810449999823E-2</c:v>
                </c:pt>
                <c:pt idx="992">
                  <c:v>4.1990809849240938E-2</c:v>
                </c:pt>
                <c:pt idx="993">
                  <c:v>5.6720046387260664E-2</c:v>
                </c:pt>
                <c:pt idx="994">
                  <c:v>5.0899206646680489E-2</c:v>
                </c:pt>
                <c:pt idx="995">
                  <c:v>5.7633777811021879E-2</c:v>
                </c:pt>
                <c:pt idx="996">
                  <c:v>3.9937733087645505E-2</c:v>
                </c:pt>
                <c:pt idx="997">
                  <c:v>4.8278232521116245E-2</c:v>
                </c:pt>
                <c:pt idx="998">
                  <c:v>3.7727844125659241E-3</c:v>
                </c:pt>
                <c:pt idx="999">
                  <c:v>3.4493299248253913E-3</c:v>
                </c:pt>
                <c:pt idx="1000">
                  <c:v>4.1622466552955631E-3</c:v>
                </c:pt>
                <c:pt idx="1001">
                  <c:v>4.786808372828708E-3</c:v>
                </c:pt>
                <c:pt idx="1002">
                  <c:v>4.4512127220800437E-3</c:v>
                </c:pt>
                <c:pt idx="1003">
                  <c:v>3.3842653703191035E-3</c:v>
                </c:pt>
                <c:pt idx="1004">
                  <c:v>4.2048296271622789E-3</c:v>
                </c:pt>
                <c:pt idx="1005">
                  <c:v>3.897192084844953E-3</c:v>
                </c:pt>
                <c:pt idx="1006">
                  <c:v>3.7943107809421893E-3</c:v>
                </c:pt>
                <c:pt idx="1007">
                  <c:v>4.4043548000624825E-3</c:v>
                </c:pt>
                <c:pt idx="1008">
                  <c:v>3.7206861852828897E-3</c:v>
                </c:pt>
                <c:pt idx="1009">
                  <c:v>3.3265177998152138E-3</c:v>
                </c:pt>
                <c:pt idx="1010">
                  <c:v>7.579232214592964E-3</c:v>
                </c:pt>
                <c:pt idx="1011">
                  <c:v>4.7262398615119938E-3</c:v>
                </c:pt>
                <c:pt idx="1012">
                  <c:v>3.3308275851458798E-3</c:v>
                </c:pt>
                <c:pt idx="1013">
                  <c:v>3.9677743636259933E-3</c:v>
                </c:pt>
                <c:pt idx="1014">
                  <c:v>3.7710622570012492E-3</c:v>
                </c:pt>
                <c:pt idx="1015">
                  <c:v>3.4846589105406484E-3</c:v>
                </c:pt>
                <c:pt idx="1016">
                  <c:v>3.5462623396865628E-3</c:v>
                </c:pt>
                <c:pt idx="1017">
                  <c:v>4.9195140883033879E-3</c:v>
                </c:pt>
                <c:pt idx="1018">
                  <c:v>4.6162499049408412E-3</c:v>
                </c:pt>
                <c:pt idx="1019">
                  <c:v>4.5143984277432811E-3</c:v>
                </c:pt>
                <c:pt idx="1020">
                  <c:v>4.9057729836874215E-3</c:v>
                </c:pt>
                <c:pt idx="1021">
                  <c:v>3.6642752726510366E-3</c:v>
                </c:pt>
                <c:pt idx="1022">
                  <c:v>3.8963312545446183E-3</c:v>
                </c:pt>
                <c:pt idx="1023">
                  <c:v>3.7710622570012492E-3</c:v>
                </c:pt>
                <c:pt idx="1024">
                  <c:v>4.6665222086134167E-3</c:v>
                </c:pt>
                <c:pt idx="1025">
                  <c:v>3.3493591747331512E-3</c:v>
                </c:pt>
                <c:pt idx="1026">
                  <c:v>4.9349723113288032E-3</c:v>
                </c:pt>
                <c:pt idx="1027">
                  <c:v>4.0495321752442286E-3</c:v>
                </c:pt>
                <c:pt idx="1028">
                  <c:v>4.425419996040094E-3</c:v>
                </c:pt>
                <c:pt idx="1029">
                  <c:v>4.1338556875966936E-3</c:v>
                </c:pt>
                <c:pt idx="1030">
                  <c:v>4.9276726634650825E-3</c:v>
                </c:pt>
                <c:pt idx="1031">
                  <c:v>5.0328616152758559E-3</c:v>
                </c:pt>
                <c:pt idx="1032">
                  <c:v>4.4967761281342958E-3</c:v>
                </c:pt>
                <c:pt idx="1033">
                  <c:v>5.0182654872241109E-3</c:v>
                </c:pt>
                <c:pt idx="1034">
                  <c:v>3.0307643783498979E-3</c:v>
                </c:pt>
                <c:pt idx="1035">
                  <c:v>4.2581599854478883E-3</c:v>
                </c:pt>
                <c:pt idx="1036">
                  <c:v>4.0396359957632884E-3</c:v>
                </c:pt>
                <c:pt idx="1037">
                  <c:v>4.7292470081617133E-3</c:v>
                </c:pt>
                <c:pt idx="1038">
                  <c:v>3.7801034975298922E-3</c:v>
                </c:pt>
                <c:pt idx="1039">
                  <c:v>2.8819492622775447E-3</c:v>
                </c:pt>
                <c:pt idx="1040">
                  <c:v>3.9092435298930936E-3</c:v>
                </c:pt>
                <c:pt idx="1041">
                  <c:v>3.3571163495456774E-3</c:v>
                </c:pt>
                <c:pt idx="1042">
                  <c:v>4.1674084500244136E-3</c:v>
                </c:pt>
                <c:pt idx="1043">
                  <c:v>4.5015041323632331E-3</c:v>
                </c:pt>
                <c:pt idx="1044">
                  <c:v>3.384696293473767E-3</c:v>
                </c:pt>
                <c:pt idx="1045">
                  <c:v>3.5751224788888231E-3</c:v>
                </c:pt>
                <c:pt idx="1046">
                  <c:v>4.190958267693333E-2</c:v>
                </c:pt>
                <c:pt idx="1047">
                  <c:v>5.0046269534320724E-2</c:v>
                </c:pt>
                <c:pt idx="1048">
                  <c:v>4.1873301556004716E-2</c:v>
                </c:pt>
                <c:pt idx="1049">
                  <c:v>3.7942961319439986E-2</c:v>
                </c:pt>
                <c:pt idx="1050">
                  <c:v>3.720889775995459E-2</c:v>
                </c:pt>
                <c:pt idx="1051">
                  <c:v>3.948471108049284E-2</c:v>
                </c:pt>
                <c:pt idx="1052">
                  <c:v>3.6832822182958386E-2</c:v>
                </c:pt>
                <c:pt idx="1053">
                  <c:v>4.3858387249467633E-2</c:v>
                </c:pt>
                <c:pt idx="1054">
                  <c:v>4.2881733655844641E-2</c:v>
                </c:pt>
                <c:pt idx="1055">
                  <c:v>5.1466259243056929E-2</c:v>
                </c:pt>
                <c:pt idx="1056">
                  <c:v>5.3780817341510682E-2</c:v>
                </c:pt>
                <c:pt idx="1057">
                  <c:v>4.9986276650869153E-2</c:v>
                </c:pt>
                <c:pt idx="1058">
                  <c:v>4.710618035837736E-2</c:v>
                </c:pt>
                <c:pt idx="1059">
                  <c:v>3.9909210210192739E-2</c:v>
                </c:pt>
                <c:pt idx="1060">
                  <c:v>4.5834831520894043E-2</c:v>
                </c:pt>
                <c:pt idx="1061">
                  <c:v>4.0784246877315973E-2</c:v>
                </c:pt>
                <c:pt idx="1062">
                  <c:v>4.1122944015247007E-2</c:v>
                </c:pt>
                <c:pt idx="1063">
                  <c:v>4.1418347255783028E-2</c:v>
                </c:pt>
                <c:pt idx="1064">
                  <c:v>4.4058948274155997E-2</c:v>
                </c:pt>
                <c:pt idx="1065">
                  <c:v>4.5843428935322082E-2</c:v>
                </c:pt>
                <c:pt idx="1066">
                  <c:v>4.6780308142088618E-2</c:v>
                </c:pt>
                <c:pt idx="1067">
                  <c:v>5.0793357200243493E-2</c:v>
                </c:pt>
                <c:pt idx="1068">
                  <c:v>6.418647031722842E-2</c:v>
                </c:pt>
                <c:pt idx="1069">
                  <c:v>4.6160242173389564E-2</c:v>
                </c:pt>
                <c:pt idx="1070">
                  <c:v>6.1682383183893012E-2</c:v>
                </c:pt>
                <c:pt idx="1071">
                  <c:v>4.5446989323620179E-2</c:v>
                </c:pt>
                <c:pt idx="1072">
                  <c:v>5.0128310900046213E-2</c:v>
                </c:pt>
                <c:pt idx="1073">
                  <c:v>6.1669195255923855E-2</c:v>
                </c:pt>
                <c:pt idx="1074">
                  <c:v>4.7928348976016347E-2</c:v>
                </c:pt>
                <c:pt idx="1075">
                  <c:v>5.5893750102922926E-2</c:v>
                </c:pt>
                <c:pt idx="1076">
                  <c:v>4.6397993243741692E-2</c:v>
                </c:pt>
                <c:pt idx="1077">
                  <c:v>4.0824572406314749E-2</c:v>
                </c:pt>
                <c:pt idx="1078">
                  <c:v>2.8412633047728748E-2</c:v>
                </c:pt>
                <c:pt idx="1079">
                  <c:v>2.2394137697636249E-2</c:v>
                </c:pt>
                <c:pt idx="1080">
                  <c:v>1.9935481963266184E-2</c:v>
                </c:pt>
                <c:pt idx="1081">
                  <c:v>2.2093344445077722E-2</c:v>
                </c:pt>
                <c:pt idx="1082">
                  <c:v>3.9711875670312306E-2</c:v>
                </c:pt>
                <c:pt idx="1083">
                  <c:v>4.5363276314896582E-2</c:v>
                </c:pt>
                <c:pt idx="1084">
                  <c:v>4.1479140635476107E-2</c:v>
                </c:pt>
                <c:pt idx="1085">
                  <c:v>4.7592973806695145E-2</c:v>
                </c:pt>
                <c:pt idx="1086">
                  <c:v>4.1938368801182638E-2</c:v>
                </c:pt>
                <c:pt idx="1087">
                  <c:v>2.2223342399951863E-2</c:v>
                </c:pt>
                <c:pt idx="1088">
                  <c:v>1.4005296068335315E-2</c:v>
                </c:pt>
                <c:pt idx="1089">
                  <c:v>3.0206938950178511E-2</c:v>
                </c:pt>
                <c:pt idx="1090">
                  <c:v>2.2801877003835222E-2</c:v>
                </c:pt>
                <c:pt idx="1091">
                  <c:v>2.5790284030486253E-2</c:v>
                </c:pt>
                <c:pt idx="1092">
                  <c:v>3.4156210482732881E-2</c:v>
                </c:pt>
                <c:pt idx="1093">
                  <c:v>3.935065598501071E-2</c:v>
                </c:pt>
                <c:pt idx="1094">
                  <c:v>3.1436742971613675E-2</c:v>
                </c:pt>
                <c:pt idx="1095">
                  <c:v>5.9762756616058123E-3</c:v>
                </c:pt>
                <c:pt idx="1096">
                  <c:v>4.4477737804457457E-3</c:v>
                </c:pt>
                <c:pt idx="1097">
                  <c:v>4.647617067730544E-3</c:v>
                </c:pt>
                <c:pt idx="1098">
                  <c:v>4.4271395587670874E-3</c:v>
                </c:pt>
                <c:pt idx="1099">
                  <c:v>4.1682687431813335E-3</c:v>
                </c:pt>
                <c:pt idx="1100">
                  <c:v>4.6067963431111391E-3</c:v>
                </c:pt>
                <c:pt idx="1101">
                  <c:v>4.3506124268669873E-3</c:v>
                </c:pt>
                <c:pt idx="1102">
                  <c:v>8.2470575352713502E-3</c:v>
                </c:pt>
                <c:pt idx="1103">
                  <c:v>4.6192578132780455E-3</c:v>
                </c:pt>
                <c:pt idx="1104">
                  <c:v>3.4463139026568081E-3</c:v>
                </c:pt>
                <c:pt idx="1105">
                  <c:v>3.6866682676504831E-3</c:v>
                </c:pt>
                <c:pt idx="1106">
                  <c:v>4.3471726885382801E-3</c:v>
                </c:pt>
                <c:pt idx="1107">
                  <c:v>3.9449654914733958E-3</c:v>
                </c:pt>
                <c:pt idx="1108">
                  <c:v>3.4187378716119743E-3</c:v>
                </c:pt>
                <c:pt idx="1109">
                  <c:v>4.4993550459127103E-3</c:v>
                </c:pt>
                <c:pt idx="1110">
                  <c:v>2.4865867370366611E-3</c:v>
                </c:pt>
                <c:pt idx="1111">
                  <c:v>3.7831172025459521E-3</c:v>
                </c:pt>
                <c:pt idx="1112">
                  <c:v>3.3946074080198987E-3</c:v>
                </c:pt>
                <c:pt idx="1113">
                  <c:v>3.3752158853005876E-3</c:v>
                </c:pt>
                <c:pt idx="1114">
                  <c:v>3.5087843713085647E-3</c:v>
                </c:pt>
                <c:pt idx="1115">
                  <c:v>3.1342578703563791E-3</c:v>
                </c:pt>
                <c:pt idx="1116">
                  <c:v>2.7909096632331479E-3</c:v>
                </c:pt>
                <c:pt idx="1117">
                  <c:v>4.9654577497334146E-3</c:v>
                </c:pt>
                <c:pt idx="1118">
                  <c:v>5.6240216333203604E-3</c:v>
                </c:pt>
                <c:pt idx="1119">
                  <c:v>7.066365522870665E-3</c:v>
                </c:pt>
                <c:pt idx="1120">
                  <c:v>4.4920480724327553E-3</c:v>
                </c:pt>
                <c:pt idx="1121">
                  <c:v>3.5264468053244958E-3</c:v>
                </c:pt>
                <c:pt idx="1122">
                  <c:v>4.2306354569908219E-3</c:v>
                </c:pt>
                <c:pt idx="1123">
                  <c:v>3.4592395644821661E-3</c:v>
                </c:pt>
                <c:pt idx="1124">
                  <c:v>3.6935581876735312E-3</c:v>
                </c:pt>
                <c:pt idx="1125">
                  <c:v>3.50619956461464E-3</c:v>
                </c:pt>
                <c:pt idx="1126">
                  <c:v>3.7211167747576218E-3</c:v>
                </c:pt>
                <c:pt idx="1127">
                  <c:v>4.3415830556477073E-3</c:v>
                </c:pt>
                <c:pt idx="1128">
                  <c:v>4.9040553150402509E-3</c:v>
                </c:pt>
                <c:pt idx="1129">
                  <c:v>5.6188771222280146E-3</c:v>
                </c:pt>
                <c:pt idx="1130">
                  <c:v>3.9010658000812179E-3</c:v>
                </c:pt>
                <c:pt idx="1131">
                  <c:v>3.5169694910153647E-3</c:v>
                </c:pt>
                <c:pt idx="1132">
                  <c:v>4.128693494059664E-3</c:v>
                </c:pt>
                <c:pt idx="1133">
                  <c:v>3.1252031743251056E-3</c:v>
                </c:pt>
                <c:pt idx="1134">
                  <c:v>3.7714927965325942E-3</c:v>
                </c:pt>
                <c:pt idx="1135">
                  <c:v>3.8248763908638045E-3</c:v>
                </c:pt>
                <c:pt idx="1136">
                  <c:v>3.5303238288422727E-3</c:v>
                </c:pt>
                <c:pt idx="1137">
                  <c:v>2.7581169754064556E-2</c:v>
                </c:pt>
                <c:pt idx="1138">
                  <c:v>3.7004479983923011E-3</c:v>
                </c:pt>
                <c:pt idx="1139">
                  <c:v>2.930697220617875E-3</c:v>
                </c:pt>
                <c:pt idx="1140">
                  <c:v>3.8257373628088382E-3</c:v>
                </c:pt>
                <c:pt idx="1141">
                  <c:v>4.1553641668884127E-3</c:v>
                </c:pt>
                <c:pt idx="1142">
                  <c:v>4.5363178513227759E-3</c:v>
                </c:pt>
                <c:pt idx="1143">
                  <c:v>5.479684401451989E-2</c:v>
                </c:pt>
                <c:pt idx="1144">
                  <c:v>5.681645960525309E-2</c:v>
                </c:pt>
                <c:pt idx="1145">
                  <c:v>5.2794329666049591E-2</c:v>
                </c:pt>
                <c:pt idx="1146">
                  <c:v>6.0021324909154176E-2</c:v>
                </c:pt>
                <c:pt idx="1147">
                  <c:v>3.3217416598679203E-2</c:v>
                </c:pt>
                <c:pt idx="1148">
                  <c:v>2.5312420603702226E-2</c:v>
                </c:pt>
                <c:pt idx="1149">
                  <c:v>2.6715442054980203E-2</c:v>
                </c:pt>
                <c:pt idx="1150">
                  <c:v>2.9027672606662093E-2</c:v>
                </c:pt>
                <c:pt idx="1151">
                  <c:v>5.1341254767328551E-2</c:v>
                </c:pt>
                <c:pt idx="1152">
                  <c:v>5.9213796995868206E-2</c:v>
                </c:pt>
                <c:pt idx="1153">
                  <c:v>6.0763923616389243E-2</c:v>
                </c:pt>
                <c:pt idx="1154">
                  <c:v>4.890537323691975E-2</c:v>
                </c:pt>
                <c:pt idx="1155">
                  <c:v>5.233296978731497E-2</c:v>
                </c:pt>
                <c:pt idx="1156">
                  <c:v>3.7256731324168658E-2</c:v>
                </c:pt>
                <c:pt idx="1157">
                  <c:v>4.1893414290909425E-2</c:v>
                </c:pt>
                <c:pt idx="1158">
                  <c:v>4.399576780755917E-2</c:v>
                </c:pt>
                <c:pt idx="1159">
                  <c:v>3.9245127900550937E-2</c:v>
                </c:pt>
                <c:pt idx="1160">
                  <c:v>3.1849402728432778E-2</c:v>
                </c:pt>
                <c:pt idx="1161">
                  <c:v>4.3119319585860238E-2</c:v>
                </c:pt>
                <c:pt idx="1162">
                  <c:v>4.3196782260087406E-2</c:v>
                </c:pt>
                <c:pt idx="1163">
                  <c:v>3.9133621125506841E-2</c:v>
                </c:pt>
                <c:pt idx="1164">
                  <c:v>4.1320033459304226E-2</c:v>
                </c:pt>
                <c:pt idx="1165">
                  <c:v>4.241956366907694E-2</c:v>
                </c:pt>
                <c:pt idx="1166">
                  <c:v>4.5566663076448514E-2</c:v>
                </c:pt>
                <c:pt idx="1167">
                  <c:v>2.8358119589581038E-2</c:v>
                </c:pt>
                <c:pt idx="1168">
                  <c:v>3.9853743696467228E-2</c:v>
                </c:pt>
                <c:pt idx="1169">
                  <c:v>4.3010376610766364E-2</c:v>
                </c:pt>
                <c:pt idx="1170">
                  <c:v>3.5546601712111353E-2</c:v>
                </c:pt>
                <c:pt idx="1171">
                  <c:v>3.6483574000602668E-2</c:v>
                </c:pt>
                <c:pt idx="1172">
                  <c:v>4.3543032673608519E-2</c:v>
                </c:pt>
                <c:pt idx="1173">
                  <c:v>2.910606514929236E-2</c:v>
                </c:pt>
                <c:pt idx="1174">
                  <c:v>4.8551722857607275E-2</c:v>
                </c:pt>
                <c:pt idx="1175">
                  <c:v>4.9721822152435001E-2</c:v>
                </c:pt>
                <c:pt idx="1176">
                  <c:v>4.2141000666172872E-2</c:v>
                </c:pt>
                <c:pt idx="1177">
                  <c:v>3.8912109950918879E-2</c:v>
                </c:pt>
                <c:pt idx="1178">
                  <c:v>4.2021167562018846E-2</c:v>
                </c:pt>
                <c:pt idx="1179">
                  <c:v>5.114480158796187E-2</c:v>
                </c:pt>
                <c:pt idx="1180">
                  <c:v>5.7180198163714668E-2</c:v>
                </c:pt>
                <c:pt idx="1181">
                  <c:v>5.3202180565232723E-2</c:v>
                </c:pt>
                <c:pt idx="1182">
                  <c:v>5.5321364718387118E-2</c:v>
                </c:pt>
                <c:pt idx="1183">
                  <c:v>4.8301159489225524E-2</c:v>
                </c:pt>
                <c:pt idx="1184">
                  <c:v>4.8801365478885035E-2</c:v>
                </c:pt>
                <c:pt idx="1185">
                  <c:v>4.3541461218222909E-2</c:v>
                </c:pt>
                <c:pt idx="1186">
                  <c:v>4.9258735869458607E-2</c:v>
                </c:pt>
                <c:pt idx="1187">
                  <c:v>5.4634500668440139E-2</c:v>
                </c:pt>
                <c:pt idx="1188">
                  <c:v>5.3882105057025773E-2</c:v>
                </c:pt>
                <c:pt idx="1189">
                  <c:v>5.3223312256368394E-2</c:v>
                </c:pt>
                <c:pt idx="1190">
                  <c:v>5.2660474187332038E-2</c:v>
                </c:pt>
                <c:pt idx="1191">
                  <c:v>6.3281931236201766E-2</c:v>
                </c:pt>
                <c:pt idx="1192">
                  <c:v>3.4747498508867795E-3</c:v>
                </c:pt>
                <c:pt idx="1193">
                  <c:v>3.8253068770497246E-3</c:v>
                </c:pt>
                <c:pt idx="1194">
                  <c:v>3.8278897852039653E-3</c:v>
                </c:pt>
                <c:pt idx="1195">
                  <c:v>4.4361671513837323E-3</c:v>
                </c:pt>
                <c:pt idx="1196">
                  <c:v>3.9961761902171447E-3</c:v>
                </c:pt>
                <c:pt idx="1197">
                  <c:v>3.4962909964356076E-3</c:v>
                </c:pt>
                <c:pt idx="1198">
                  <c:v>3.7512569771543497E-3</c:v>
                </c:pt>
                <c:pt idx="1199">
                  <c:v>3.6970031066957342E-3</c:v>
                </c:pt>
                <c:pt idx="1200">
                  <c:v>4.1794523991458277E-3</c:v>
                </c:pt>
                <c:pt idx="1201">
                  <c:v>6.6102126423688429E-3</c:v>
                </c:pt>
                <c:pt idx="1202">
                  <c:v>4.4984954083548646E-3</c:v>
                </c:pt>
                <c:pt idx="1203">
                  <c:v>6.0062597661548313E-3</c:v>
                </c:pt>
                <c:pt idx="1204">
                  <c:v>2.8564946139741829E-3</c:v>
                </c:pt>
                <c:pt idx="1205">
                  <c:v>3.581152713504572E-3</c:v>
                </c:pt>
                <c:pt idx="1206">
                  <c:v>3.3553925448945917E-3</c:v>
                </c:pt>
                <c:pt idx="1207">
                  <c:v>4.3729700619622664E-3</c:v>
                </c:pt>
                <c:pt idx="1208">
                  <c:v>3.3549615926626625E-3</c:v>
                </c:pt>
                <c:pt idx="1209">
                  <c:v>3.5475546257404777E-3</c:v>
                </c:pt>
                <c:pt idx="1210">
                  <c:v>4.0245761595177291E-3</c:v>
                </c:pt>
                <c:pt idx="1211">
                  <c:v>4.1200897018070287E-3</c:v>
                </c:pt>
                <c:pt idx="1212">
                  <c:v>3.224363367261208E-3</c:v>
                </c:pt>
                <c:pt idx="1213">
                  <c:v>4.2521391439069751E-3</c:v>
                </c:pt>
                <c:pt idx="1214">
                  <c:v>3.6026885822144977E-3</c:v>
                </c:pt>
                <c:pt idx="1215">
                  <c:v>3.596227933732871E-3</c:v>
                </c:pt>
                <c:pt idx="1216">
                  <c:v>3.2493654069595231E-3</c:v>
                </c:pt>
                <c:pt idx="1217">
                  <c:v>4.7700562254153322E-3</c:v>
                </c:pt>
                <c:pt idx="1218">
                  <c:v>3.9880000971917861E-3</c:v>
                </c:pt>
                <c:pt idx="1219">
                  <c:v>3.7839782572808536E-3</c:v>
                </c:pt>
                <c:pt idx="1220">
                  <c:v>3.3747849527390027E-3</c:v>
                </c:pt>
                <c:pt idx="1221">
                  <c:v>3.8915966573928895E-3</c:v>
                </c:pt>
                <c:pt idx="1222">
                  <c:v>2.1785934562752384E-3</c:v>
                </c:pt>
                <c:pt idx="1223">
                  <c:v>3.8687837839791409E-3</c:v>
                </c:pt>
                <c:pt idx="1224">
                  <c:v>3.5281699311608692E-3</c:v>
                </c:pt>
                <c:pt idx="1225">
                  <c:v>4.3527622494878198E-3</c:v>
                </c:pt>
                <c:pt idx="1226">
                  <c:v>3.8786838573559748E-3</c:v>
                </c:pt>
                <c:pt idx="1227">
                  <c:v>3.6336983571477566E-3</c:v>
                </c:pt>
                <c:pt idx="1228">
                  <c:v>3.81755806041663E-3</c:v>
                </c:pt>
                <c:pt idx="1229">
                  <c:v>3.9488387806172797E-3</c:v>
                </c:pt>
                <c:pt idx="1230">
                  <c:v>4.0073642786129134E-3</c:v>
                </c:pt>
                <c:pt idx="1231">
                  <c:v>4.509240755531334E-3</c:v>
                </c:pt>
                <c:pt idx="1232">
                  <c:v>2.9466577524193691E-3</c:v>
                </c:pt>
                <c:pt idx="1233">
                  <c:v>4.107183693826834E-3</c:v>
                </c:pt>
                <c:pt idx="1234">
                  <c:v>3.539800851736395E-3</c:v>
                </c:pt>
                <c:pt idx="1235">
                  <c:v>4.8344840251153733E-3</c:v>
                </c:pt>
                <c:pt idx="1236">
                  <c:v>4.3596416103614567E-3</c:v>
                </c:pt>
                <c:pt idx="1237">
                  <c:v>4.1325651449649102E-3</c:v>
                </c:pt>
                <c:pt idx="1238">
                  <c:v>3.5143847330367131E-3</c:v>
                </c:pt>
                <c:pt idx="1239">
                  <c:v>5.1020863009694793E-2</c:v>
                </c:pt>
                <c:pt idx="1240">
                  <c:v>5.0415720388357281E-2</c:v>
                </c:pt>
                <c:pt idx="1241">
                  <c:v>5.0199504052876494E-2</c:v>
                </c:pt>
                <c:pt idx="1242">
                  <c:v>3.5143850319807136E-2</c:v>
                </c:pt>
                <c:pt idx="1243">
                  <c:v>4.8911969903914748E-2</c:v>
                </c:pt>
                <c:pt idx="1244">
                  <c:v>4.3501387184555991E-2</c:v>
                </c:pt>
                <c:pt idx="1245">
                  <c:v>3.7900377322741888E-2</c:v>
                </c:pt>
                <c:pt idx="1246">
                  <c:v>4.3967117734843519E-2</c:v>
                </c:pt>
                <c:pt idx="1247">
                  <c:v>3.7942563357491174E-2</c:v>
                </c:pt>
                <c:pt idx="1248">
                  <c:v>3.3770650369049512E-2</c:v>
                </c:pt>
                <c:pt idx="1249">
                  <c:v>3.9933771688907285E-2</c:v>
                </c:pt>
                <c:pt idx="1250">
                  <c:v>3.6327818562139548E-2</c:v>
                </c:pt>
                <c:pt idx="1251">
                  <c:v>4.1515059996571242E-2</c:v>
                </c:pt>
                <c:pt idx="1252">
                  <c:v>4.296081227826893E-2</c:v>
                </c:pt>
                <c:pt idx="1253">
                  <c:v>3.9790344719589893E-2</c:v>
                </c:pt>
                <c:pt idx="1254">
                  <c:v>4.2972220443240859E-2</c:v>
                </c:pt>
                <c:pt idx="1255">
                  <c:v>3.2992866441248186E-2</c:v>
                </c:pt>
                <c:pt idx="1256">
                  <c:v>3.2713425118437819E-2</c:v>
                </c:pt>
                <c:pt idx="1257">
                  <c:v>3.3608693384151553E-2</c:v>
                </c:pt>
                <c:pt idx="1258">
                  <c:v>2.9164139618093155E-2</c:v>
                </c:pt>
                <c:pt idx="1259">
                  <c:v>3.0383127845204128E-2</c:v>
                </c:pt>
                <c:pt idx="1260">
                  <c:v>2.5277594232116889E-2</c:v>
                </c:pt>
                <c:pt idx="1261">
                  <c:v>2.6977137428281936E-2</c:v>
                </c:pt>
                <c:pt idx="1262">
                  <c:v>2.9616286218274758E-2</c:v>
                </c:pt>
                <c:pt idx="1263">
                  <c:v>2.1508078280600411E-2</c:v>
                </c:pt>
                <c:pt idx="1264">
                  <c:v>1.7410260223758495E-2</c:v>
                </c:pt>
                <c:pt idx="1265">
                  <c:v>1.8606890630122046E-2</c:v>
                </c:pt>
                <c:pt idx="1266">
                  <c:v>3.2066073761622335E-2</c:v>
                </c:pt>
                <c:pt idx="1267">
                  <c:v>3.7629254173506758E-2</c:v>
                </c:pt>
                <c:pt idx="1268">
                  <c:v>3.5661433516518404E-2</c:v>
                </c:pt>
                <c:pt idx="1269">
                  <c:v>3.6020537026712762E-2</c:v>
                </c:pt>
                <c:pt idx="1270">
                  <c:v>3.5059329212878083E-2</c:v>
                </c:pt>
                <c:pt idx="1271">
                  <c:v>3.7768619076604781E-2</c:v>
                </c:pt>
                <c:pt idx="1272">
                  <c:v>4.0158721894987134E-2</c:v>
                </c:pt>
                <c:pt idx="1273">
                  <c:v>3.9353432693620911E-2</c:v>
                </c:pt>
                <c:pt idx="1274">
                  <c:v>3.9113777061622231E-2</c:v>
                </c:pt>
                <c:pt idx="1275">
                  <c:v>4.0671552753770657E-2</c:v>
                </c:pt>
                <c:pt idx="1276">
                  <c:v>3.8534327660133039E-2</c:v>
                </c:pt>
                <c:pt idx="1277">
                  <c:v>4.312403851958909E-2</c:v>
                </c:pt>
                <c:pt idx="1278">
                  <c:v>3.9474400619028079E-2</c:v>
                </c:pt>
                <c:pt idx="1279">
                  <c:v>4.0662456864967132E-2</c:v>
                </c:pt>
                <c:pt idx="1280">
                  <c:v>3.5504582489040842E-2</c:v>
                </c:pt>
                <c:pt idx="1281">
                  <c:v>3.9196322408306429E-2</c:v>
                </c:pt>
                <c:pt idx="1282">
                  <c:v>3.9431569927999913E-2</c:v>
                </c:pt>
                <c:pt idx="1283">
                  <c:v>4.4203718530047502E-2</c:v>
                </c:pt>
                <c:pt idx="1284">
                  <c:v>4.6156727634641327E-2</c:v>
                </c:pt>
                <c:pt idx="1285">
                  <c:v>5.0183641371706077E-2</c:v>
                </c:pt>
                <c:pt idx="1286">
                  <c:v>5.1719630140678201E-2</c:v>
                </c:pt>
                <c:pt idx="1287">
                  <c:v>4.3003035392382392E-3</c:v>
                </c:pt>
                <c:pt idx="1288">
                  <c:v>4.4941971950417181E-3</c:v>
                </c:pt>
                <c:pt idx="1289">
                  <c:v>3.2273809311867351E-3</c:v>
                </c:pt>
                <c:pt idx="1290">
                  <c:v>4.2805223804120666E-3</c:v>
                </c:pt>
                <c:pt idx="1291">
                  <c:v>4.1940767454888509E-3</c:v>
                </c:pt>
                <c:pt idx="1292">
                  <c:v>3.814114097533823E-3</c:v>
                </c:pt>
                <c:pt idx="1293">
                  <c:v>4.3015935835182427E-3</c:v>
                </c:pt>
                <c:pt idx="1294">
                  <c:v>2.8012658402518701E-3</c:v>
                </c:pt>
                <c:pt idx="1295">
                  <c:v>3.3424637919132749E-3</c:v>
                </c:pt>
                <c:pt idx="1296">
                  <c:v>3.6823620121285302E-3</c:v>
                </c:pt>
                <c:pt idx="1297">
                  <c:v>3.6746106445863461E-3</c:v>
                </c:pt>
                <c:pt idx="1298">
                  <c:v>2.8992058023811656E-3</c:v>
                </c:pt>
                <c:pt idx="1299">
                  <c:v>2.8966173650774121E-3</c:v>
                </c:pt>
                <c:pt idx="1300">
                  <c:v>4.6330079860993799E-3</c:v>
                </c:pt>
                <c:pt idx="1301">
                  <c:v>5.1049764601246994E-3</c:v>
                </c:pt>
                <c:pt idx="1302">
                  <c:v>4.311913799808869E-3</c:v>
                </c:pt>
                <c:pt idx="1303">
                  <c:v>3.8235849297459613E-3</c:v>
                </c:pt>
                <c:pt idx="1304">
                  <c:v>4.2843926780348962E-3</c:v>
                </c:pt>
                <c:pt idx="1305">
                  <c:v>4.7202255057455745E-3</c:v>
                </c:pt>
                <c:pt idx="1306">
                  <c:v>4.7850902336019109E-3</c:v>
                </c:pt>
                <c:pt idx="1307">
                  <c:v>4.6420313004286199E-3</c:v>
                </c:pt>
                <c:pt idx="1308">
                  <c:v>4.1015909712592332E-3</c:v>
                </c:pt>
                <c:pt idx="1309">
                  <c:v>3.0143756469358193E-3</c:v>
                </c:pt>
                <c:pt idx="1310">
                  <c:v>4.5908967068566432E-3</c:v>
                </c:pt>
                <c:pt idx="1311">
                  <c:v>4.2899830470439796E-3</c:v>
                </c:pt>
                <c:pt idx="1312">
                  <c:v>5.1444628490507627E-3</c:v>
                </c:pt>
                <c:pt idx="1313">
                  <c:v>3.9957458733689668E-3</c:v>
                </c:pt>
                <c:pt idx="1314">
                  <c:v>5.9441475379252724E-3</c:v>
                </c:pt>
                <c:pt idx="1315">
                  <c:v>5.101971913988923E-3</c:v>
                </c:pt>
                <c:pt idx="1316">
                  <c:v>5.5875800333825632E-3</c:v>
                </c:pt>
                <c:pt idx="1317">
                  <c:v>4.658788386811546E-3</c:v>
                </c:pt>
                <c:pt idx="1318">
                  <c:v>3.8911662369104775E-3</c:v>
                </c:pt>
                <c:pt idx="1319">
                  <c:v>2.6761121617982623E-3</c:v>
                </c:pt>
                <c:pt idx="1320">
                  <c:v>5.6664615247435926E-3</c:v>
                </c:pt>
                <c:pt idx="1321">
                  <c:v>5.406183996881659E-3</c:v>
                </c:pt>
                <c:pt idx="1322">
                  <c:v>4.4838813095260475E-3</c:v>
                </c:pt>
                <c:pt idx="1323">
                  <c:v>6.31797179762355E-3</c:v>
                </c:pt>
                <c:pt idx="1324">
                  <c:v>7.2931947679035084E-3</c:v>
                </c:pt>
                <c:pt idx="1325">
                  <c:v>5.4387808308991896E-3</c:v>
                </c:pt>
                <c:pt idx="1326">
                  <c:v>5.9300104105115079E-3</c:v>
                </c:pt>
                <c:pt idx="1327">
                  <c:v>3.6552316204375743E-3</c:v>
                </c:pt>
                <c:pt idx="1328">
                  <c:v>5.4872426534247534E-3</c:v>
                </c:pt>
                <c:pt idx="1329">
                  <c:v>5.0912412223897974E-3</c:v>
                </c:pt>
                <c:pt idx="1330">
                  <c:v>5.1491838074462261E-3</c:v>
                </c:pt>
                <c:pt idx="1331">
                  <c:v>5.2912177369450614E-3</c:v>
                </c:pt>
                <c:pt idx="1332">
                  <c:v>4.7128000383580795E-2</c:v>
                </c:pt>
                <c:pt idx="1333">
                  <c:v>5.7273276647619355E-3</c:v>
                </c:pt>
                <c:pt idx="1334">
                  <c:v>5.9261547504385025E-3</c:v>
                </c:pt>
                <c:pt idx="1335">
                  <c:v>5.1800970570990632E-2</c:v>
                </c:pt>
                <c:pt idx="1336">
                  <c:v>4.9759002644385951E-2</c:v>
                </c:pt>
                <c:pt idx="1337">
                  <c:v>4.4504874326219537E-2</c:v>
                </c:pt>
                <c:pt idx="1338">
                  <c:v>4.710618035837736E-2</c:v>
                </c:pt>
                <c:pt idx="1339">
                  <c:v>3.9962689068835315E-2</c:v>
                </c:pt>
                <c:pt idx="1340">
                  <c:v>5.2808559000622465E-2</c:v>
                </c:pt>
                <c:pt idx="1341">
                  <c:v>4.4917839614685547E-2</c:v>
                </c:pt>
                <c:pt idx="1342">
                  <c:v>4.4500170372556595E-2</c:v>
                </c:pt>
                <c:pt idx="1343">
                  <c:v>4.0643869021511167E-2</c:v>
                </c:pt>
                <c:pt idx="1344">
                  <c:v>3.9045903509088264E-2</c:v>
                </c:pt>
                <c:pt idx="1345">
                  <c:v>2.8508218488451448E-2</c:v>
                </c:pt>
                <c:pt idx="1346">
                  <c:v>3.3516636318399677E-2</c:v>
                </c:pt>
                <c:pt idx="1347">
                  <c:v>3.5150258832360545E-2</c:v>
                </c:pt>
                <c:pt idx="1348">
                  <c:v>3.458434321877573E-2</c:v>
                </c:pt>
                <c:pt idx="1349">
                  <c:v>3.4717471855818451E-2</c:v>
                </c:pt>
                <c:pt idx="1350">
                  <c:v>3.076280474049406E-2</c:v>
                </c:pt>
                <c:pt idx="1351">
                  <c:v>3.2848336390071134E-2</c:v>
                </c:pt>
                <c:pt idx="1352">
                  <c:v>4.7698049572217217E-2</c:v>
                </c:pt>
                <c:pt idx="1353">
                  <c:v>0.16023166049002624</c:v>
                </c:pt>
                <c:pt idx="1354">
                  <c:v>4.5155097394211322E-2</c:v>
                </c:pt>
                <c:pt idx="1355">
                  <c:v>2.7931539337022714E-2</c:v>
                </c:pt>
                <c:pt idx="1356">
                  <c:v>3.4747139545330742E-2</c:v>
                </c:pt>
                <c:pt idx="1357">
                  <c:v>3.4520571374351793E-2</c:v>
                </c:pt>
                <c:pt idx="1358">
                  <c:v>3.3342518736475597E-2</c:v>
                </c:pt>
                <c:pt idx="1359">
                  <c:v>3.2840283162027847E-2</c:v>
                </c:pt>
                <c:pt idx="1360">
                  <c:v>1.9792349057222609E-2</c:v>
                </c:pt>
                <c:pt idx="1361">
                  <c:v>1.6042519596947157E-2</c:v>
                </c:pt>
                <c:pt idx="1362">
                  <c:v>3.0963437969406458E-2</c:v>
                </c:pt>
                <c:pt idx="1363">
                  <c:v>3.4904264322221608E-2</c:v>
                </c:pt>
                <c:pt idx="1364">
                  <c:v>3.7398606573704835E-2</c:v>
                </c:pt>
                <c:pt idx="1365">
                  <c:v>3.9165369741849192E-2</c:v>
                </c:pt>
                <c:pt idx="1366">
                  <c:v>4.0422335612143194E-2</c:v>
                </c:pt>
                <c:pt idx="1367">
                  <c:v>3.7735573730325149E-2</c:v>
                </c:pt>
                <c:pt idx="1368">
                  <c:v>3.902407057952309E-2</c:v>
                </c:pt>
                <c:pt idx="1369">
                  <c:v>5.1421894489376181E-2</c:v>
                </c:pt>
                <c:pt idx="1370">
                  <c:v>4.3742953987105218E-2</c:v>
                </c:pt>
                <c:pt idx="1371">
                  <c:v>4.8011957896698695E-2</c:v>
                </c:pt>
                <c:pt idx="1372">
                  <c:v>4.2937995049267402E-2</c:v>
                </c:pt>
                <c:pt idx="1373">
                  <c:v>5.8066123066863005E-3</c:v>
                </c:pt>
                <c:pt idx="1374">
                  <c:v>4.9783382777913963E-3</c:v>
                </c:pt>
                <c:pt idx="1375">
                  <c:v>4.9899304264278436E-3</c:v>
                </c:pt>
                <c:pt idx="1376">
                  <c:v>5.7551860802314576E-3</c:v>
                </c:pt>
                <c:pt idx="1377">
                  <c:v>1.9846288734587492E-2</c:v>
                </c:pt>
                <c:pt idx="1378">
                  <c:v>4.8168747090479979E-3</c:v>
                </c:pt>
                <c:pt idx="1379">
                  <c:v>4.8782894700784719E-3</c:v>
                </c:pt>
                <c:pt idx="1380">
                  <c:v>5.1882370404934238E-3</c:v>
                </c:pt>
                <c:pt idx="1381">
                  <c:v>5.2187047067064722E-3</c:v>
                </c:pt>
                <c:pt idx="1382">
                  <c:v>3.9686350523282267E-3</c:v>
                </c:pt>
                <c:pt idx="1383">
                  <c:v>5.2277158603730011E-3</c:v>
                </c:pt>
                <c:pt idx="1384">
                  <c:v>4.5333093684895567E-3</c:v>
                </c:pt>
                <c:pt idx="1385">
                  <c:v>4.4641085106870296E-3</c:v>
                </c:pt>
                <c:pt idx="1386">
                  <c:v>4.5595254469915263E-3</c:v>
                </c:pt>
                <c:pt idx="1387">
                  <c:v>3.9428136492445929E-3</c:v>
                </c:pt>
                <c:pt idx="1388">
                  <c:v>4.2590200988542135E-3</c:v>
                </c:pt>
                <c:pt idx="1389">
                  <c:v>4.6639442833152312E-3</c:v>
                </c:pt>
                <c:pt idx="1390">
                  <c:v>9.6275479742397127E-2</c:v>
                </c:pt>
                <c:pt idx="1391">
                  <c:v>7.7358326051313432E-3</c:v>
                </c:pt>
                <c:pt idx="1392">
                  <c:v>5.2161300570310442E-3</c:v>
                </c:pt>
                <c:pt idx="1393">
                  <c:v>3.7064764931103574E-3</c:v>
                </c:pt>
                <c:pt idx="1394">
                  <c:v>9.7240499493887588E-3</c:v>
                </c:pt>
                <c:pt idx="1395">
                  <c:v>4.2271947682746619E-3</c:v>
                </c:pt>
                <c:pt idx="1396">
                  <c:v>3.7947412974266475E-3</c:v>
                </c:pt>
                <c:pt idx="1397">
                  <c:v>4.2263345918363959E-3</c:v>
                </c:pt>
                <c:pt idx="1398">
                  <c:v>7.3440121945517797E-3</c:v>
                </c:pt>
                <c:pt idx="1399">
                  <c:v>6.7492040528258201E-3</c:v>
                </c:pt>
                <c:pt idx="1400">
                  <c:v>5.1414585760791625E-3</c:v>
                </c:pt>
                <c:pt idx="1401">
                  <c:v>4.9263844775762804E-3</c:v>
                </c:pt>
                <c:pt idx="1402">
                  <c:v>4.974903507661891E-3</c:v>
                </c:pt>
                <c:pt idx="1403">
                  <c:v>1.3398493176636947E-2</c:v>
                </c:pt>
                <c:pt idx="1404">
                  <c:v>3.896761669908023E-3</c:v>
                </c:pt>
                <c:pt idx="1405">
                  <c:v>4.2637506921400937E-3</c:v>
                </c:pt>
                <c:pt idx="1406">
                  <c:v>4.1721400412985717E-3</c:v>
                </c:pt>
                <c:pt idx="1407">
                  <c:v>4.7515851600091101E-3</c:v>
                </c:pt>
                <c:pt idx="1408">
                  <c:v>6.9693609284147513E-3</c:v>
                </c:pt>
                <c:pt idx="1409">
                  <c:v>7.128425719628069E-2</c:v>
                </c:pt>
                <c:pt idx="1410">
                  <c:v>7.4708950426830054E-2</c:v>
                </c:pt>
                <c:pt idx="1411">
                  <c:v>7.0353400880713152E-2</c:v>
                </c:pt>
                <c:pt idx="1412">
                  <c:v>6.0299239507944316E-2</c:v>
                </c:pt>
                <c:pt idx="1413">
                  <c:v>5.5322129420974982E-2</c:v>
                </c:pt>
                <c:pt idx="1414">
                  <c:v>5.823085179369273E-2</c:v>
                </c:pt>
                <c:pt idx="1415">
                  <c:v>5.1861098725534016E-2</c:v>
                </c:pt>
                <c:pt idx="1416">
                  <c:v>4.289314389823707E-2</c:v>
                </c:pt>
                <c:pt idx="1417">
                  <c:v>3.345914100312182E-2</c:v>
                </c:pt>
                <c:pt idx="1418">
                  <c:v>3.4796046717064683E-2</c:v>
                </c:pt>
                <c:pt idx="1419">
                  <c:v>3.1591031552555389E-2</c:v>
                </c:pt>
                <c:pt idx="1420">
                  <c:v>4.2713299346113218E-2</c:v>
                </c:pt>
                <c:pt idx="1421">
                  <c:v>3.1932129753203274E-2</c:v>
                </c:pt>
                <c:pt idx="1422">
                  <c:v>4.2217455828094656E-2</c:v>
                </c:pt>
                <c:pt idx="1423">
                  <c:v>4.5099513963373576E-2</c:v>
                </c:pt>
                <c:pt idx="1424">
                  <c:v>3.591979407169147E-2</c:v>
                </c:pt>
                <c:pt idx="1425">
                  <c:v>3.4716269068901379E-2</c:v>
                </c:pt>
                <c:pt idx="1426">
                  <c:v>3.155589735011393E-2</c:v>
                </c:pt>
                <c:pt idx="1427">
                  <c:v>1.9252998961116277E-2</c:v>
                </c:pt>
                <c:pt idx="1428">
                  <c:v>2.2237784215449061E-2</c:v>
                </c:pt>
                <c:pt idx="1429">
                  <c:v>2.5344786139361641E-2</c:v>
                </c:pt>
                <c:pt idx="1430">
                  <c:v>2.6445416209447958E-2</c:v>
                </c:pt>
                <c:pt idx="1431">
                  <c:v>3.0102812141526977E-2</c:v>
                </c:pt>
                <c:pt idx="1432">
                  <c:v>2.2243148196035945E-2</c:v>
                </c:pt>
                <c:pt idx="1433">
                  <c:v>3.362396734164079E-2</c:v>
                </c:pt>
                <c:pt idx="1434">
                  <c:v>2.9478338057545943E-2</c:v>
                </c:pt>
                <c:pt idx="1435">
                  <c:v>2.7914842085962299E-2</c:v>
                </c:pt>
                <c:pt idx="1436">
                  <c:v>2.4860690190515525E-2</c:v>
                </c:pt>
                <c:pt idx="1437">
                  <c:v>2.4556265600520721E-2</c:v>
                </c:pt>
                <c:pt idx="1438">
                  <c:v>2.1924082451457903E-2</c:v>
                </c:pt>
                <c:pt idx="1439">
                  <c:v>2.604026689489726E-2</c:v>
                </c:pt>
                <c:pt idx="1440">
                  <c:v>3.9730899772098448E-2</c:v>
                </c:pt>
                <c:pt idx="1441">
                  <c:v>4.2595986402783607E-2</c:v>
                </c:pt>
                <c:pt idx="1442">
                  <c:v>6.485054874852704E-2</c:v>
                </c:pt>
                <c:pt idx="1443">
                  <c:v>4.7057470989958584E-2</c:v>
                </c:pt>
                <c:pt idx="1444">
                  <c:v>4.6768219660838321E-2</c:v>
                </c:pt>
                <c:pt idx="1445">
                  <c:v>3.9518020129357671E-2</c:v>
                </c:pt>
                <c:pt idx="1446">
                  <c:v>4.2251344017246471E-2</c:v>
                </c:pt>
                <c:pt idx="1447">
                  <c:v>5.4683899288979966E-2</c:v>
                </c:pt>
                <c:pt idx="1448">
                  <c:v>5.4052399323582058E-2</c:v>
                </c:pt>
                <c:pt idx="1449">
                  <c:v>4.591571864247472E-2</c:v>
                </c:pt>
                <c:pt idx="1450">
                  <c:v>5.1411091950214233E-2</c:v>
                </c:pt>
                <c:pt idx="1451">
                  <c:v>5.0610570966364017E-2</c:v>
                </c:pt>
                <c:pt idx="1452">
                  <c:v>5.8563807578173845E-2</c:v>
                </c:pt>
                <c:pt idx="1453">
                  <c:v>5.0045108460382119E-2</c:v>
                </c:pt>
                <c:pt idx="1454">
                  <c:v>5.4904401343193722E-2</c:v>
                </c:pt>
                <c:pt idx="1455">
                  <c:v>4.075024401186253E-2</c:v>
                </c:pt>
                <c:pt idx="1456">
                  <c:v>5.4242559033028756E-2</c:v>
                </c:pt>
                <c:pt idx="1457">
                  <c:v>5.7831879966947025E-2</c:v>
                </c:pt>
                <c:pt idx="1458">
                  <c:v>8.9619331171987976E-3</c:v>
                </c:pt>
                <c:pt idx="1459">
                  <c:v>1.1636407369559501E-2</c:v>
                </c:pt>
                <c:pt idx="1460">
                  <c:v>1.1234126346572622E-2</c:v>
                </c:pt>
                <c:pt idx="1461">
                  <c:v>1.1083016086161581E-2</c:v>
                </c:pt>
                <c:pt idx="1462">
                  <c:v>7.4379447230243081E-3</c:v>
                </c:pt>
                <c:pt idx="1463">
                  <c:v>8.5154334936522226E-3</c:v>
                </c:pt>
                <c:pt idx="1464">
                  <c:v>1.0231668642825363E-2</c:v>
                </c:pt>
                <c:pt idx="1465">
                  <c:v>7.1492509600171927E-3</c:v>
                </c:pt>
                <c:pt idx="1466">
                  <c:v>7.7631358837539164E-3</c:v>
                </c:pt>
                <c:pt idx="1467">
                  <c:v>7.5630142336908738E-3</c:v>
                </c:pt>
                <c:pt idx="1468">
                  <c:v>7.0103875419045428E-3</c:v>
                </c:pt>
                <c:pt idx="1469">
                  <c:v>8.0944779015542784E-3</c:v>
                </c:pt>
                <c:pt idx="1470">
                  <c:v>6.6196226954759853E-3</c:v>
                </c:pt>
                <c:pt idx="1471">
                  <c:v>8.9232177727039449E-3</c:v>
                </c:pt>
                <c:pt idx="1472">
                  <c:v>7.243225617826087E-3</c:v>
                </c:pt>
                <c:pt idx="1473">
                  <c:v>1.1085979537863194E-2</c:v>
                </c:pt>
                <c:pt idx="1474">
                  <c:v>2.998487965564876E-2</c:v>
                </c:pt>
                <c:pt idx="1475">
                  <c:v>2.1125184199728794E-2</c:v>
                </c:pt>
                <c:pt idx="1476">
                  <c:v>9.1350463345522843E-3</c:v>
                </c:pt>
                <c:pt idx="1477">
                  <c:v>8.002392745947353E-3</c:v>
                </c:pt>
                <c:pt idx="1478">
                  <c:v>9.1380231082288117E-3</c:v>
                </c:pt>
                <c:pt idx="1479">
                  <c:v>1.1562408863601078E-2</c:v>
                </c:pt>
                <c:pt idx="1480">
                  <c:v>1.1742097653923467E-2</c:v>
                </c:pt>
                <c:pt idx="1481">
                  <c:v>9.5622172974858255E-3</c:v>
                </c:pt>
                <c:pt idx="1482">
                  <c:v>1.4803955713886768E-2</c:v>
                </c:pt>
                <c:pt idx="1483">
                  <c:v>1.5496394144884551E-2</c:v>
                </c:pt>
                <c:pt idx="1484">
                  <c:v>1.760464523392587E-2</c:v>
                </c:pt>
                <c:pt idx="1485">
                  <c:v>1.6850395981017865E-2</c:v>
                </c:pt>
                <c:pt idx="1486">
                  <c:v>1.6558278772751372E-2</c:v>
                </c:pt>
                <c:pt idx="1487">
                  <c:v>9.3297693910051882E-3</c:v>
                </c:pt>
                <c:pt idx="1488">
                  <c:v>9.3055400550250272E-3</c:v>
                </c:pt>
                <c:pt idx="1489">
                  <c:v>1.1695597097584864E-2</c:v>
                </c:pt>
                <c:pt idx="1490">
                  <c:v>1.8365080521294895E-2</c:v>
                </c:pt>
                <c:pt idx="1491">
                  <c:v>8.8751378703766717E-3</c:v>
                </c:pt>
                <c:pt idx="1492">
                  <c:v>1.2413264482855501E-2</c:v>
                </c:pt>
                <c:pt idx="1493">
                  <c:v>1.3240973004389192E-2</c:v>
                </c:pt>
                <c:pt idx="1494">
                  <c:v>7.816884197807546E-3</c:v>
                </c:pt>
                <c:pt idx="1495">
                  <c:v>9.1112314105805791E-3</c:v>
                </c:pt>
                <c:pt idx="1496">
                  <c:v>9.4929633832307615E-3</c:v>
                </c:pt>
                <c:pt idx="1497">
                  <c:v>1.1068621890250071E-2</c:v>
                </c:pt>
                <c:pt idx="1498">
                  <c:v>8.464752960002148E-3</c:v>
                </c:pt>
                <c:pt idx="1499">
                  <c:v>1.5392452025465611E-2</c:v>
                </c:pt>
                <c:pt idx="1500">
                  <c:v>1.3469653340940984E-2</c:v>
                </c:pt>
                <c:pt idx="1501">
                  <c:v>7.2517677602909926E-3</c:v>
                </c:pt>
                <c:pt idx="1502">
                  <c:v>9.977509030925015E-3</c:v>
                </c:pt>
                <c:pt idx="1503">
                  <c:v>8.3292919195303572E-3</c:v>
                </c:pt>
                <c:pt idx="1504">
                  <c:v>8.5026574460716261E-3</c:v>
                </c:pt>
                <c:pt idx="1505">
                  <c:v>5.5414648497131742E-2</c:v>
                </c:pt>
                <c:pt idx="1506">
                  <c:v>5.7178675286580327E-2</c:v>
                </c:pt>
                <c:pt idx="1507">
                  <c:v>5.7991892690873126E-2</c:v>
                </c:pt>
                <c:pt idx="1508">
                  <c:v>6.5792888669106722E-2</c:v>
                </c:pt>
                <c:pt idx="1509">
                  <c:v>6.3801933917567666E-2</c:v>
                </c:pt>
                <c:pt idx="1510">
                  <c:v>5.9505482863900533E-2</c:v>
                </c:pt>
                <c:pt idx="1511">
                  <c:v>6.5575233592876842E-2</c:v>
                </c:pt>
                <c:pt idx="1512">
                  <c:v>5.4664370273369019E-2</c:v>
                </c:pt>
                <c:pt idx="1513">
                  <c:v>3.9959124016463288E-2</c:v>
                </c:pt>
                <c:pt idx="1514">
                  <c:v>5.223632612394602E-2</c:v>
                </c:pt>
                <c:pt idx="1515">
                  <c:v>3.7755878999965048E-2</c:v>
                </c:pt>
                <c:pt idx="1516">
                  <c:v>5.1584285997222139E-2</c:v>
                </c:pt>
                <c:pt idx="1517">
                  <c:v>5.4451408718483106E-2</c:v>
                </c:pt>
                <c:pt idx="1518">
                  <c:v>4.5901261663640454E-2</c:v>
                </c:pt>
                <c:pt idx="1519">
                  <c:v>4.7740461845719312E-2</c:v>
                </c:pt>
                <c:pt idx="1520">
                  <c:v>3.8356644469024898E-2</c:v>
                </c:pt>
                <c:pt idx="1521">
                  <c:v>3.5067341397935867E-2</c:v>
                </c:pt>
                <c:pt idx="1522">
                  <c:v>2.4741325386000337E-2</c:v>
                </c:pt>
                <c:pt idx="1523">
                  <c:v>2.6908156605778239E-2</c:v>
                </c:pt>
                <c:pt idx="1524">
                  <c:v>4.2773124618812657E-2</c:v>
                </c:pt>
                <c:pt idx="1525">
                  <c:v>3.0150219270756808E-2</c:v>
                </c:pt>
                <c:pt idx="1526">
                  <c:v>2.868103236527399E-2</c:v>
                </c:pt>
                <c:pt idx="1527">
                  <c:v>2.438015991074648E-2</c:v>
                </c:pt>
                <c:pt idx="1528">
                  <c:v>3.4830919778955541E-2</c:v>
                </c:pt>
                <c:pt idx="1529">
                  <c:v>3.2879339923902642E-2</c:v>
                </c:pt>
                <c:pt idx="1530">
                  <c:v>1.8405460935987522E-2</c:v>
                </c:pt>
                <c:pt idx="1531">
                  <c:v>2.1404325001805447E-2</c:v>
                </c:pt>
                <c:pt idx="1532">
                  <c:v>2.5461527839299405E-2</c:v>
                </c:pt>
                <c:pt idx="1533">
                  <c:v>2.6312997267615545E-2</c:v>
                </c:pt>
                <c:pt idx="1534">
                  <c:v>3.252770255493407E-2</c:v>
                </c:pt>
                <c:pt idx="1535">
                  <c:v>3.5527393428871928E-2</c:v>
                </c:pt>
                <c:pt idx="1536">
                  <c:v>4.3933755679366679E-2</c:v>
                </c:pt>
                <c:pt idx="1537">
                  <c:v>3.7935002011175271E-2</c:v>
                </c:pt>
                <c:pt idx="1538">
                  <c:v>4.5587778551195189E-2</c:v>
                </c:pt>
                <c:pt idx="1539">
                  <c:v>3.2026540369532598E-2</c:v>
                </c:pt>
                <c:pt idx="1540">
                  <c:v>3.0749452869659081E-2</c:v>
                </c:pt>
                <c:pt idx="1541">
                  <c:v>4.2223760807693203E-2</c:v>
                </c:pt>
                <c:pt idx="1542">
                  <c:v>3.7956491808727157E-2</c:v>
                </c:pt>
                <c:pt idx="1543">
                  <c:v>3.7200924987018789E-2</c:v>
                </c:pt>
                <c:pt idx="1544">
                  <c:v>4.1648054181868961E-2</c:v>
                </c:pt>
                <c:pt idx="1545">
                  <c:v>2.7705053629185378E-2</c:v>
                </c:pt>
                <c:pt idx="1546">
                  <c:v>4.4703178017425071E-2</c:v>
                </c:pt>
                <c:pt idx="1547">
                  <c:v>4.3332406966163223E-2</c:v>
                </c:pt>
                <c:pt idx="1548">
                  <c:v>3.4662541188927753E-2</c:v>
                </c:pt>
                <c:pt idx="1549">
                  <c:v>4.4155859449287634E-2</c:v>
                </c:pt>
                <c:pt idx="1550">
                  <c:v>4.7250328078928115E-2</c:v>
                </c:pt>
                <c:pt idx="1551">
                  <c:v>3.7336043707317343E-2</c:v>
                </c:pt>
                <c:pt idx="1552">
                  <c:v>3.4385376185544381E-2</c:v>
                </c:pt>
                <c:pt idx="1553">
                  <c:v>1.1507853319660442E-2</c:v>
                </c:pt>
                <c:pt idx="1554">
                  <c:v>8.1153648728498444E-3</c:v>
                </c:pt>
                <c:pt idx="1555">
                  <c:v>1.1170217778613377E-2</c:v>
                </c:pt>
                <c:pt idx="1556">
                  <c:v>1.2557583974733061E-2</c:v>
                </c:pt>
                <c:pt idx="1557">
                  <c:v>8.0258422079526794E-3</c:v>
                </c:pt>
                <c:pt idx="1558">
                  <c:v>7.6035580504414746E-3</c:v>
                </c:pt>
                <c:pt idx="1559">
                  <c:v>7.1052467441015512E-3</c:v>
                </c:pt>
                <c:pt idx="1560">
                  <c:v>9.362498102110579E-3</c:v>
                </c:pt>
                <c:pt idx="1561">
                  <c:v>5.4353497004256479E-3</c:v>
                </c:pt>
                <c:pt idx="1562">
                  <c:v>6.3145476061730529E-3</c:v>
                </c:pt>
                <c:pt idx="1563">
                  <c:v>6.4407968116160811E-3</c:v>
                </c:pt>
                <c:pt idx="1564">
                  <c:v>8.8576916339653637E-3</c:v>
                </c:pt>
                <c:pt idx="1565">
                  <c:v>1.0467026088345875E-2</c:v>
                </c:pt>
                <c:pt idx="1566">
                  <c:v>1.1428756756699956E-2</c:v>
                </c:pt>
                <c:pt idx="1567">
                  <c:v>9.3250936594973834E-3</c:v>
                </c:pt>
                <c:pt idx="1568">
                  <c:v>8.6793594181977449E-3</c:v>
                </c:pt>
                <c:pt idx="1569">
                  <c:v>2.3855524814751693E-2</c:v>
                </c:pt>
                <c:pt idx="1570">
                  <c:v>1.852116957641696E-2</c:v>
                </c:pt>
                <c:pt idx="1571">
                  <c:v>1.2375277696912282E-2</c:v>
                </c:pt>
                <c:pt idx="1572">
                  <c:v>2.3654870301837928E-2</c:v>
                </c:pt>
                <c:pt idx="1573">
                  <c:v>1.9764546761015842E-2</c:v>
                </c:pt>
                <c:pt idx="1574">
                  <c:v>1.2593023532466515E-2</c:v>
                </c:pt>
                <c:pt idx="1575">
                  <c:v>1.4689351574700466E-2</c:v>
                </c:pt>
                <c:pt idx="1576">
                  <c:v>1.5645557907954886E-2</c:v>
                </c:pt>
                <c:pt idx="1577">
                  <c:v>1.8908028524379304E-2</c:v>
                </c:pt>
                <c:pt idx="1578">
                  <c:v>1.1780985205226874E-2</c:v>
                </c:pt>
                <c:pt idx="1579">
                  <c:v>1.1420296378444066E-2</c:v>
                </c:pt>
                <c:pt idx="1580">
                  <c:v>1.5430594966802751E-2</c:v>
                </c:pt>
                <c:pt idx="1581">
                  <c:v>1.2191628043890285E-2</c:v>
                </c:pt>
                <c:pt idx="1582">
                  <c:v>1.4609152672074147E-2</c:v>
                </c:pt>
                <c:pt idx="1583">
                  <c:v>1.6230405495612044E-2</c:v>
                </c:pt>
                <c:pt idx="1584">
                  <c:v>6.8159041328759292E-3</c:v>
                </c:pt>
                <c:pt idx="1585">
                  <c:v>1.5078378952310635E-2</c:v>
                </c:pt>
                <c:pt idx="1586">
                  <c:v>1.1619917365751615E-2</c:v>
                </c:pt>
                <c:pt idx="1587">
                  <c:v>1.3602258038001474E-2</c:v>
                </c:pt>
                <c:pt idx="1588">
                  <c:v>9.1516309566367464E-3</c:v>
                </c:pt>
                <c:pt idx="1589">
                  <c:v>1.39262325028326E-2</c:v>
                </c:pt>
                <c:pt idx="1590">
                  <c:v>1.2083090478859554E-2</c:v>
                </c:pt>
                <c:pt idx="1591">
                  <c:v>7.1868432633367353E-3</c:v>
                </c:pt>
                <c:pt idx="1592">
                  <c:v>1.0560285642613907E-2</c:v>
                </c:pt>
                <c:pt idx="1593">
                  <c:v>7.4212945290007331E-3</c:v>
                </c:pt>
                <c:pt idx="1594">
                  <c:v>1.6316579849979172E-2</c:v>
                </c:pt>
                <c:pt idx="1595">
                  <c:v>6.1005136574008995E-2</c:v>
                </c:pt>
                <c:pt idx="1596">
                  <c:v>4.6502578103554272E-2</c:v>
                </c:pt>
                <c:pt idx="1597">
                  <c:v>4.1000458621572158E-2</c:v>
                </c:pt>
                <c:pt idx="1598">
                  <c:v>1.4338214413342371E-2</c:v>
                </c:pt>
                <c:pt idx="1599">
                  <c:v>1.1554796873523069E-2</c:v>
                </c:pt>
                <c:pt idx="1600">
                  <c:v>3.3783106097366782E-2</c:v>
                </c:pt>
                <c:pt idx="1601">
                  <c:v>3.9652419980503298E-2</c:v>
                </c:pt>
                <c:pt idx="1602">
                  <c:v>4.9855424712852911E-2</c:v>
                </c:pt>
                <c:pt idx="1603">
                  <c:v>5.5098396491261144E-2</c:v>
                </c:pt>
                <c:pt idx="1604">
                  <c:v>4.2059801582194689E-2</c:v>
                </c:pt>
                <c:pt idx="1605">
                  <c:v>2.7637003374724717E-2</c:v>
                </c:pt>
                <c:pt idx="1606">
                  <c:v>3.7913909138782148E-2</c:v>
                </c:pt>
                <c:pt idx="1607">
                  <c:v>3.5757436806639543E-2</c:v>
                </c:pt>
                <c:pt idx="1608">
                  <c:v>3.0749048261104556E-2</c:v>
                </c:pt>
                <c:pt idx="1609">
                  <c:v>3.9197116037413722E-2</c:v>
                </c:pt>
                <c:pt idx="1610">
                  <c:v>4.6251219778553718E-2</c:v>
                </c:pt>
                <c:pt idx="1611">
                  <c:v>3.7940573542276902E-2</c:v>
                </c:pt>
                <c:pt idx="1612">
                  <c:v>4.7274088379925812E-2</c:v>
                </c:pt>
                <c:pt idx="1613">
                  <c:v>4.6912089752654734E-2</c:v>
                </c:pt>
                <c:pt idx="1614">
                  <c:v>4.2111833810426332E-2</c:v>
                </c:pt>
                <c:pt idx="1615">
                  <c:v>3.3855422622794763E-2</c:v>
                </c:pt>
                <c:pt idx="1616">
                  <c:v>2.4927126487387114E-2</c:v>
                </c:pt>
                <c:pt idx="1617">
                  <c:v>3.1243198910224878E-2</c:v>
                </c:pt>
                <c:pt idx="1618">
                  <c:v>1.9669922625951467E-2</c:v>
                </c:pt>
                <c:pt idx="1619">
                  <c:v>2.6735452416919821E-2</c:v>
                </c:pt>
                <c:pt idx="1620">
                  <c:v>3.0052968297047584E-2</c:v>
                </c:pt>
                <c:pt idx="1621">
                  <c:v>1.874750309225191E-2</c:v>
                </c:pt>
                <c:pt idx="1622">
                  <c:v>2.1210806454577669E-2</c:v>
                </c:pt>
                <c:pt idx="1623">
                  <c:v>2.1366289703111115E-2</c:v>
                </c:pt>
                <c:pt idx="1624">
                  <c:v>2.3033404716290659E-2</c:v>
                </c:pt>
                <c:pt idx="1625">
                  <c:v>1.9979864325703166E-2</c:v>
                </c:pt>
                <c:pt idx="1626">
                  <c:v>2.07233200416235E-2</c:v>
                </c:pt>
                <c:pt idx="1627">
                  <c:v>2.7919729152721878E-2</c:v>
                </c:pt>
                <c:pt idx="1628">
                  <c:v>3.2775046510626078E-2</c:v>
                </c:pt>
                <c:pt idx="1629">
                  <c:v>2.4372358706420079E-2</c:v>
                </c:pt>
                <c:pt idx="1630">
                  <c:v>2.6984891983584371E-2</c:v>
                </c:pt>
                <c:pt idx="1631">
                  <c:v>1.8653489152315655E-2</c:v>
                </c:pt>
                <c:pt idx="1632">
                  <c:v>2.6963668661030206E-2</c:v>
                </c:pt>
                <c:pt idx="1633">
                  <c:v>3.3491709214265822E-2</c:v>
                </c:pt>
                <c:pt idx="1634">
                  <c:v>3.176706360393005E-2</c:v>
                </c:pt>
                <c:pt idx="1635">
                  <c:v>3.048921173403497E-2</c:v>
                </c:pt>
                <c:pt idx="1636">
                  <c:v>2.7253766962590423E-2</c:v>
                </c:pt>
                <c:pt idx="1637">
                  <c:v>3.0597293471843996E-2</c:v>
                </c:pt>
                <c:pt idx="1638">
                  <c:v>3.3543572064503403E-2</c:v>
                </c:pt>
                <c:pt idx="1639">
                  <c:v>3.8296605305443883E-2</c:v>
                </c:pt>
                <c:pt idx="1640">
                  <c:v>3.9666293702850908E-2</c:v>
                </c:pt>
                <c:pt idx="1641">
                  <c:v>3.6036126110337144E-2</c:v>
                </c:pt>
                <c:pt idx="1642">
                  <c:v>4.0364164362197134E-2</c:v>
                </c:pt>
                <c:pt idx="1643">
                  <c:v>3.454664275682099E-2</c:v>
                </c:pt>
                <c:pt idx="1644">
                  <c:v>3.8496173640965116E-2</c:v>
                </c:pt>
                <c:pt idx="1645">
                  <c:v>3.789918331873085E-2</c:v>
                </c:pt>
                <c:pt idx="1646">
                  <c:v>4.8691897578845983E-2</c:v>
                </c:pt>
                <c:pt idx="1647">
                  <c:v>4.49824523473649E-2</c:v>
                </c:pt>
                <c:pt idx="1648">
                  <c:v>1.5835709307869344E-2</c:v>
                </c:pt>
                <c:pt idx="1649">
                  <c:v>7.501977982410756E-3</c:v>
                </c:pt>
                <c:pt idx="1650">
                  <c:v>8.3914899704802867E-3</c:v>
                </c:pt>
                <c:pt idx="1651">
                  <c:v>1.1111379722992717E-2</c:v>
                </c:pt>
                <c:pt idx="1652">
                  <c:v>1.0313104027659101E-2</c:v>
                </c:pt>
                <c:pt idx="1653">
                  <c:v>9.4185987263567614E-3</c:v>
                </c:pt>
                <c:pt idx="1654">
                  <c:v>6.4878633941996998E-3</c:v>
                </c:pt>
                <c:pt idx="1655">
                  <c:v>9.0946452456369935E-3</c:v>
                </c:pt>
                <c:pt idx="1656">
                  <c:v>7.206919637810609E-3</c:v>
                </c:pt>
                <c:pt idx="1657">
                  <c:v>7.1817172317605697E-3</c:v>
                </c:pt>
                <c:pt idx="1658">
                  <c:v>1.0376290757852241E-2</c:v>
                </c:pt>
                <c:pt idx="1659">
                  <c:v>9.8246870897891973E-3</c:v>
                </c:pt>
                <c:pt idx="1660">
                  <c:v>1.0131125777198661E-2</c:v>
                </c:pt>
                <c:pt idx="1661">
                  <c:v>9.0980475875238626E-3</c:v>
                </c:pt>
                <c:pt idx="1662">
                  <c:v>1.0249483938122118E-2</c:v>
                </c:pt>
                <c:pt idx="1663">
                  <c:v>9.7176797253660137E-3</c:v>
                </c:pt>
                <c:pt idx="1664">
                  <c:v>1.0699289984315623E-2</c:v>
                </c:pt>
                <c:pt idx="1665">
                  <c:v>1.3466706109974962E-2</c:v>
                </c:pt>
                <c:pt idx="1666">
                  <c:v>1.6249649795469681E-2</c:v>
                </c:pt>
                <c:pt idx="1667">
                  <c:v>7.6999944468093967E-3</c:v>
                </c:pt>
                <c:pt idx="1668">
                  <c:v>8.056537771962545E-3</c:v>
                </c:pt>
                <c:pt idx="1669">
                  <c:v>1.3744920731119784E-2</c:v>
                </c:pt>
                <c:pt idx="1670">
                  <c:v>9.3204178776488487E-3</c:v>
                </c:pt>
                <c:pt idx="1671">
                  <c:v>1.1732797940957936E-2</c:v>
                </c:pt>
                <c:pt idx="1672">
                  <c:v>1.0524679812569463E-2</c:v>
                </c:pt>
                <c:pt idx="1673">
                  <c:v>1.1153710063915363E-2</c:v>
                </c:pt>
                <c:pt idx="1674">
                  <c:v>1.2316180535987266E-2</c:v>
                </c:pt>
                <c:pt idx="1675">
                  <c:v>1.2649552079333727E-2</c:v>
                </c:pt>
                <c:pt idx="1676">
                  <c:v>1.5615813044853287E-2</c:v>
                </c:pt>
                <c:pt idx="1677">
                  <c:v>1.587213850835751E-2</c:v>
                </c:pt>
                <c:pt idx="1678">
                  <c:v>1.1349222693468148E-2</c:v>
                </c:pt>
                <c:pt idx="1679">
                  <c:v>5.0909635670377984E-2</c:v>
                </c:pt>
                <c:pt idx="1680">
                  <c:v>1.3018915744018393E-2</c:v>
                </c:pt>
                <c:pt idx="1681">
                  <c:v>1.6411937359252393E-2</c:v>
                </c:pt>
                <c:pt idx="1682">
                  <c:v>8.5431136407872789E-3</c:v>
                </c:pt>
                <c:pt idx="1683">
                  <c:v>7.5344178972576777E-3</c:v>
                </c:pt>
                <c:pt idx="1684">
                  <c:v>1.4005716580733586E-2</c:v>
                </c:pt>
                <c:pt idx="1685">
                  <c:v>6.9189270723840519E-3</c:v>
                </c:pt>
                <c:pt idx="1686">
                  <c:v>8.2726242968048438E-3</c:v>
                </c:pt>
                <c:pt idx="1687">
                  <c:v>1.1748438253135578E-2</c:v>
                </c:pt>
                <c:pt idx="1688">
                  <c:v>1.108936631504724E-2</c:v>
                </c:pt>
                <c:pt idx="1689">
                  <c:v>8.992137198094774E-3</c:v>
                </c:pt>
                <c:pt idx="1690">
                  <c:v>8.160971706396283E-3</c:v>
                </c:pt>
                <c:pt idx="1691">
                  <c:v>1.2779455480608739E-2</c:v>
                </c:pt>
                <c:pt idx="1692">
                  <c:v>9.1295179864488221E-3</c:v>
                </c:pt>
                <c:pt idx="1693">
                  <c:v>1.4019593261461502E-2</c:v>
                </c:pt>
                <c:pt idx="1694">
                  <c:v>8.5303384074855264E-3</c:v>
                </c:pt>
                <c:pt idx="1695">
                  <c:v>1.105803761829483E-2</c:v>
                </c:pt>
                <c:pt idx="1696">
                  <c:v>8.6959614506277282E-3</c:v>
                </c:pt>
                <c:pt idx="1697">
                  <c:v>3.4723886663117529E-2</c:v>
                </c:pt>
                <c:pt idx="1698">
                  <c:v>2.2727283964144949E-2</c:v>
                </c:pt>
                <c:pt idx="1699">
                  <c:v>3.7092480741558416E-2</c:v>
                </c:pt>
                <c:pt idx="1700">
                  <c:v>4.998318001906478E-2</c:v>
                </c:pt>
                <c:pt idx="1701">
                  <c:v>4.0243048191857991E-2</c:v>
                </c:pt>
                <c:pt idx="1702">
                  <c:v>4.2367962226409671E-2</c:v>
                </c:pt>
                <c:pt idx="1703">
                  <c:v>4.7230461911451201E-2</c:v>
                </c:pt>
                <c:pt idx="1704">
                  <c:v>3.9558463397342411E-2</c:v>
                </c:pt>
                <c:pt idx="1705">
                  <c:v>4.2766827609757259E-2</c:v>
                </c:pt>
                <c:pt idx="1706">
                  <c:v>5.0341081834084332E-2</c:v>
                </c:pt>
                <c:pt idx="1707">
                  <c:v>3.8936727883717319E-2</c:v>
                </c:pt>
                <c:pt idx="1708">
                  <c:v>3.7031070153473435E-2</c:v>
                </c:pt>
                <c:pt idx="1709">
                  <c:v>3.2854376213105274E-2</c:v>
                </c:pt>
                <c:pt idx="1710">
                  <c:v>2.7853341795590316E-2</c:v>
                </c:pt>
                <c:pt idx="1711">
                  <c:v>3.1660080150639473E-2</c:v>
                </c:pt>
                <c:pt idx="1712">
                  <c:v>3.2247155241321844E-2</c:v>
                </c:pt>
                <c:pt idx="1713">
                  <c:v>2.7373666614853291E-2</c:v>
                </c:pt>
                <c:pt idx="1714">
                  <c:v>2.7691607418227206E-2</c:v>
                </c:pt>
                <c:pt idx="1715">
                  <c:v>1.6084372044931055E-2</c:v>
                </c:pt>
                <c:pt idx="1716">
                  <c:v>2.155849921073176E-2</c:v>
                </c:pt>
                <c:pt idx="1717">
                  <c:v>2.0247721343682849E-2</c:v>
                </c:pt>
                <c:pt idx="1718">
                  <c:v>2.2076421213975954E-2</c:v>
                </c:pt>
                <c:pt idx="1719">
                  <c:v>3.0797598596415621E-2</c:v>
                </c:pt>
                <c:pt idx="1720">
                  <c:v>2.4595664090713072E-2</c:v>
                </c:pt>
                <c:pt idx="1721">
                  <c:v>2.3391576245494546E-2</c:v>
                </c:pt>
                <c:pt idx="1722">
                  <c:v>2.949172906394578E-2</c:v>
                </c:pt>
                <c:pt idx="1723">
                  <c:v>2.6505890443024996E-2</c:v>
                </c:pt>
                <c:pt idx="1724">
                  <c:v>2.6830591116236348E-2</c:v>
                </c:pt>
                <c:pt idx="1725">
                  <c:v>2.15857736675584E-2</c:v>
                </c:pt>
                <c:pt idx="1726">
                  <c:v>3.4170662330416532E-2</c:v>
                </c:pt>
                <c:pt idx="1727">
                  <c:v>3.248579320711243E-2</c:v>
                </c:pt>
                <c:pt idx="1728">
                  <c:v>3.1570435985511777E-2</c:v>
                </c:pt>
                <c:pt idx="1729">
                  <c:v>2.43600407300598E-2</c:v>
                </c:pt>
                <c:pt idx="1730">
                  <c:v>3.5292423384528038E-2</c:v>
                </c:pt>
                <c:pt idx="1731">
                  <c:v>5.0209949892372777E-2</c:v>
                </c:pt>
                <c:pt idx="1732">
                  <c:v>5.0343015637250264E-2</c:v>
                </c:pt>
                <c:pt idx="1733">
                  <c:v>6.9076180198244283E-2</c:v>
                </c:pt>
                <c:pt idx="1734">
                  <c:v>5.9912000915067772E-2</c:v>
                </c:pt>
                <c:pt idx="1735">
                  <c:v>5.9075461846135893E-2</c:v>
                </c:pt>
                <c:pt idx="1736">
                  <c:v>4.5606155999168389E-2</c:v>
                </c:pt>
                <c:pt idx="1737">
                  <c:v>7.4561199368828435E-2</c:v>
                </c:pt>
                <c:pt idx="1738">
                  <c:v>7.5588928999522645E-2</c:v>
                </c:pt>
                <c:pt idx="1739">
                  <c:v>7.0965710533077347E-2</c:v>
                </c:pt>
                <c:pt idx="1740">
                  <c:v>7.5385256959557848E-2</c:v>
                </c:pt>
                <c:pt idx="1741">
                  <c:v>7.8229460855584895E-2</c:v>
                </c:pt>
                <c:pt idx="1742">
                  <c:v>7.2450266704334895E-2</c:v>
                </c:pt>
                <c:pt idx="1743">
                  <c:v>6.3114091874130113E-2</c:v>
                </c:pt>
                <c:pt idx="1744">
                  <c:v>6.3690932228299441E-2</c:v>
                </c:pt>
                <c:pt idx="1745">
                  <c:v>7.5871283788370991E-2</c:v>
                </c:pt>
                <c:pt idx="1746">
                  <c:v>6.7359483295598059E-3</c:v>
                </c:pt>
                <c:pt idx="1747">
                  <c:v>6.2340713340535573E-3</c:v>
                </c:pt>
                <c:pt idx="1748">
                  <c:v>7.3282124551797279E-3</c:v>
                </c:pt>
                <c:pt idx="1749">
                  <c:v>8.77683407078623E-3</c:v>
                </c:pt>
                <c:pt idx="1750">
                  <c:v>9.276633113938771E-3</c:v>
                </c:pt>
                <c:pt idx="1751">
                  <c:v>8.3744502944871138E-3</c:v>
                </c:pt>
                <c:pt idx="1752">
                  <c:v>1.1329336901609992E-2</c:v>
                </c:pt>
                <c:pt idx="1753">
                  <c:v>1.0537820399239435E-2</c:v>
                </c:pt>
                <c:pt idx="1754">
                  <c:v>7.2009395382097137E-3</c:v>
                </c:pt>
                <c:pt idx="1755">
                  <c:v>1.0953451144879695E-2</c:v>
                </c:pt>
                <c:pt idx="1756">
                  <c:v>9.7282967134943894E-3</c:v>
                </c:pt>
                <c:pt idx="1757">
                  <c:v>7.9465352911629872E-3</c:v>
                </c:pt>
                <c:pt idx="1758">
                  <c:v>6.3847381352480298E-3</c:v>
                </c:pt>
                <c:pt idx="1759">
                  <c:v>6.7876861184183908E-3</c:v>
                </c:pt>
                <c:pt idx="1760">
                  <c:v>7.6679935919123313E-3</c:v>
                </c:pt>
                <c:pt idx="1761">
                  <c:v>6.6957510821355976E-3</c:v>
                </c:pt>
                <c:pt idx="1762">
                  <c:v>2.1092502656255722E-2</c:v>
                </c:pt>
                <c:pt idx="1763">
                  <c:v>1.9996869449624213E-2</c:v>
                </c:pt>
                <c:pt idx="1764">
                  <c:v>1.4325608519237483E-2</c:v>
                </c:pt>
                <c:pt idx="1765">
                  <c:v>1.1318335859606569E-2</c:v>
                </c:pt>
                <c:pt idx="1766">
                  <c:v>1.3083395678277184E-2</c:v>
                </c:pt>
                <c:pt idx="1767">
                  <c:v>9.8938881307863123E-3</c:v>
                </c:pt>
                <c:pt idx="1768">
                  <c:v>1.3223280004484734E-2</c:v>
                </c:pt>
                <c:pt idx="1769">
                  <c:v>1.208520236339109E-2</c:v>
                </c:pt>
                <c:pt idx="1770">
                  <c:v>1.232673419024991E-2</c:v>
                </c:pt>
                <c:pt idx="1771">
                  <c:v>1.1222276461420535E-2</c:v>
                </c:pt>
                <c:pt idx="1772">
                  <c:v>1.7863134256675683E-2</c:v>
                </c:pt>
                <c:pt idx="1773">
                  <c:v>1.4086026983906031E-2</c:v>
                </c:pt>
                <c:pt idx="1774">
                  <c:v>1.0364841495440253E-2</c:v>
                </c:pt>
                <c:pt idx="1775">
                  <c:v>1.125697878347596E-2</c:v>
                </c:pt>
                <c:pt idx="1776">
                  <c:v>1.3321424936593251E-2</c:v>
                </c:pt>
                <c:pt idx="1777">
                  <c:v>9.0844380600461679E-3</c:v>
                </c:pt>
                <c:pt idx="1778">
                  <c:v>1.0328371462469536E-2</c:v>
                </c:pt>
                <c:pt idx="1779">
                  <c:v>1.0325402836624191E-2</c:v>
                </c:pt>
                <c:pt idx="1780">
                  <c:v>8.1771673733857173E-3</c:v>
                </c:pt>
                <c:pt idx="1781">
                  <c:v>8.5098972525126243E-3</c:v>
                </c:pt>
                <c:pt idx="1782">
                  <c:v>9.5566943844128845E-3</c:v>
                </c:pt>
                <c:pt idx="1783">
                  <c:v>1.0483983860573075E-2</c:v>
                </c:pt>
                <c:pt idx="1784">
                  <c:v>6.8347151239834874E-3</c:v>
                </c:pt>
                <c:pt idx="1785">
                  <c:v>6.7821278085220269E-3</c:v>
                </c:pt>
                <c:pt idx="1786">
                  <c:v>1.1375030554982884E-2</c:v>
                </c:pt>
                <c:pt idx="1787">
                  <c:v>9.2234903348108327E-3</c:v>
                </c:pt>
                <c:pt idx="1788">
                  <c:v>9.1775697366488305E-3</c:v>
                </c:pt>
                <c:pt idx="1789">
                  <c:v>9.1924519437805979E-3</c:v>
                </c:pt>
                <c:pt idx="1790">
                  <c:v>1.2410732133827032E-2</c:v>
                </c:pt>
                <c:pt idx="1791">
                  <c:v>1.1094869771641704E-2</c:v>
                </c:pt>
                <c:pt idx="1792">
                  <c:v>7.0467099545641386E-3</c:v>
                </c:pt>
                <c:pt idx="1793">
                  <c:v>7.2578527916311072E-2</c:v>
                </c:pt>
                <c:pt idx="1794">
                  <c:v>7.2217903530800806E-2</c:v>
                </c:pt>
                <c:pt idx="1795">
                  <c:v>5.6501989746438275E-2</c:v>
                </c:pt>
                <c:pt idx="1796">
                  <c:v>4.8733824715644275E-2</c:v>
                </c:pt>
                <c:pt idx="1797">
                  <c:v>4.7810102374443574E-2</c:v>
                </c:pt>
                <c:pt idx="1798">
                  <c:v>4.8693838739355164E-2</c:v>
                </c:pt>
                <c:pt idx="1799">
                  <c:v>5.3837602758117296E-2</c:v>
                </c:pt>
                <c:pt idx="1800">
                  <c:v>5.2560055497033603E-2</c:v>
                </c:pt>
                <c:pt idx="1801">
                  <c:v>5.0189831755242997E-2</c:v>
                </c:pt>
                <c:pt idx="1802">
                  <c:v>5.0984176584377761E-2</c:v>
                </c:pt>
                <c:pt idx="1803">
                  <c:v>3.8841027765298228E-2</c:v>
                </c:pt>
                <c:pt idx="1804">
                  <c:v>4.8553276288018719E-2</c:v>
                </c:pt>
                <c:pt idx="1805">
                  <c:v>4.4421371573766029E-2</c:v>
                </c:pt>
                <c:pt idx="1806">
                  <c:v>4.7915903481339908E-2</c:v>
                </c:pt>
                <c:pt idx="1807">
                  <c:v>4.7901512933515078E-2</c:v>
                </c:pt>
                <c:pt idx="1808">
                  <c:v>3.8920845506159561E-2</c:v>
                </c:pt>
                <c:pt idx="1809">
                  <c:v>4.4917839614685547E-2</c:v>
                </c:pt>
                <c:pt idx="1810">
                  <c:v>3.6818458653427269E-2</c:v>
                </c:pt>
                <c:pt idx="1811">
                  <c:v>4.6712062303550989E-2</c:v>
                </c:pt>
                <c:pt idx="1812">
                  <c:v>4.5421955348695246E-2</c:v>
                </c:pt>
                <c:pt idx="1813">
                  <c:v>3.1041481904630526E-2</c:v>
                </c:pt>
                <c:pt idx="1814">
                  <c:v>4.1519401696112027E-2</c:v>
                </c:pt>
                <c:pt idx="1815">
                  <c:v>3.2059216186281186E-2</c:v>
                </c:pt>
                <c:pt idx="1816">
                  <c:v>4.1721834576350043E-2</c:v>
                </c:pt>
                <c:pt idx="1817">
                  <c:v>5.2800482949023418E-2</c:v>
                </c:pt>
                <c:pt idx="1818">
                  <c:v>2.1889809188129394E-2</c:v>
                </c:pt>
                <c:pt idx="1819">
                  <c:v>4.0980304489240497E-2</c:v>
                </c:pt>
                <c:pt idx="1820">
                  <c:v>4.0127045816212036E-2</c:v>
                </c:pt>
                <c:pt idx="1821">
                  <c:v>4.1166003252789726E-2</c:v>
                </c:pt>
                <c:pt idx="1822">
                  <c:v>4.4679276640601354E-2</c:v>
                </c:pt>
                <c:pt idx="1823">
                  <c:v>5.4507723458003393E-2</c:v>
                </c:pt>
                <c:pt idx="1824">
                  <c:v>4.2842779190378558E-2</c:v>
                </c:pt>
                <c:pt idx="1825">
                  <c:v>5.2577755495855506E-2</c:v>
                </c:pt>
                <c:pt idx="1826">
                  <c:v>4.7401047628060168E-2</c:v>
                </c:pt>
                <c:pt idx="1827">
                  <c:v>4.6601676334048783E-2</c:v>
                </c:pt>
                <c:pt idx="1828">
                  <c:v>5.5740220057983014E-2</c:v>
                </c:pt>
                <c:pt idx="1829">
                  <c:v>5.2399953173375695E-2</c:v>
                </c:pt>
                <c:pt idx="1830">
                  <c:v>2.6715033670646576E-2</c:v>
                </c:pt>
                <c:pt idx="1831">
                  <c:v>5.8324272222318368E-2</c:v>
                </c:pt>
                <c:pt idx="1832">
                  <c:v>5.7834540993087463E-2</c:v>
                </c:pt>
                <c:pt idx="1833">
                  <c:v>5.1827952182810298E-2</c:v>
                </c:pt>
                <c:pt idx="1834">
                  <c:v>5.0240512202014177E-2</c:v>
                </c:pt>
                <c:pt idx="1835">
                  <c:v>5.5902532518950353E-2</c:v>
                </c:pt>
                <c:pt idx="1836">
                  <c:v>4.1491771958258879E-2</c:v>
                </c:pt>
                <c:pt idx="1837">
                  <c:v>3.91875923924059E-2</c:v>
                </c:pt>
                <c:pt idx="1838">
                  <c:v>5.8209582546381963E-2</c:v>
                </c:pt>
                <c:pt idx="1839">
                  <c:v>5.293813986157514E-2</c:v>
                </c:pt>
                <c:pt idx="1840">
                  <c:v>5.1937017900280762E-2</c:v>
                </c:pt>
                <c:pt idx="1841">
                  <c:v>1.3252767937223452E-2</c:v>
                </c:pt>
                <c:pt idx="1842">
                  <c:v>1.9642112490997298E-2</c:v>
                </c:pt>
                <c:pt idx="1843">
                  <c:v>1.1581861121012817E-2</c:v>
                </c:pt>
                <c:pt idx="1844">
                  <c:v>1.3506281542582267E-2</c:v>
                </c:pt>
                <c:pt idx="1845">
                  <c:v>1.2311959002472162E-2</c:v>
                </c:pt>
                <c:pt idx="1846">
                  <c:v>1.2180648823047683E-2</c:v>
                </c:pt>
                <c:pt idx="1847">
                  <c:v>1.3851361178295826E-2</c:v>
                </c:pt>
                <c:pt idx="1848">
                  <c:v>1.3107415167148884E-2</c:v>
                </c:pt>
                <c:pt idx="1849">
                  <c:v>1.3096880467159422E-2</c:v>
                </c:pt>
                <c:pt idx="1850">
                  <c:v>1.2800118348754297E-2</c:v>
                </c:pt>
                <c:pt idx="1851">
                  <c:v>1.1682914263522897E-2</c:v>
                </c:pt>
                <c:pt idx="1852">
                  <c:v>1.267528278688923E-2</c:v>
                </c:pt>
                <c:pt idx="1853">
                  <c:v>9.6000261238151155E-3</c:v>
                </c:pt>
                <c:pt idx="1854">
                  <c:v>9.0699774697869193E-3</c:v>
                </c:pt>
                <c:pt idx="1855">
                  <c:v>1.0742084192768543E-2</c:v>
                </c:pt>
                <c:pt idx="1856">
                  <c:v>9.3467716266909251E-3</c:v>
                </c:pt>
                <c:pt idx="1857">
                  <c:v>9.9410064556969008E-3</c:v>
                </c:pt>
                <c:pt idx="1858">
                  <c:v>8.306284904158346E-3</c:v>
                </c:pt>
                <c:pt idx="1859">
                  <c:v>9.9193581304068065E-3</c:v>
                </c:pt>
                <c:pt idx="1860">
                  <c:v>9.0393534538447673E-3</c:v>
                </c:pt>
                <c:pt idx="1861">
                  <c:v>9.3939493446128439E-3</c:v>
                </c:pt>
                <c:pt idx="1862">
                  <c:v>1.3936326525449492E-2</c:v>
                </c:pt>
                <c:pt idx="1863">
                  <c:v>9.7741591199208035E-3</c:v>
                </c:pt>
                <c:pt idx="1864">
                  <c:v>1.1824095594308588E-2</c:v>
                </c:pt>
                <c:pt idx="1865">
                  <c:v>2.1655604999563038E-2</c:v>
                </c:pt>
                <c:pt idx="1866">
                  <c:v>1.0230396093767823E-2</c:v>
                </c:pt>
                <c:pt idx="1867">
                  <c:v>8.4481420865060181E-3</c:v>
                </c:pt>
                <c:pt idx="1868">
                  <c:v>9.782227005293324E-3</c:v>
                </c:pt>
                <c:pt idx="1869">
                  <c:v>8.2248984577467169E-3</c:v>
                </c:pt>
                <c:pt idx="1870">
                  <c:v>8.1724792161053054E-3</c:v>
                </c:pt>
                <c:pt idx="1871">
                  <c:v>1.2351639797539848E-2</c:v>
                </c:pt>
                <c:pt idx="1872">
                  <c:v>8.7900276483400073E-3</c:v>
                </c:pt>
                <c:pt idx="1873">
                  <c:v>1.3144073931249917E-2</c:v>
                </c:pt>
                <c:pt idx="1874">
                  <c:v>9.6824294633903445E-3</c:v>
                </c:pt>
                <c:pt idx="1875">
                  <c:v>1.0654372715106221E-2</c:v>
                </c:pt>
                <c:pt idx="1876">
                  <c:v>9.6174425656470729E-3</c:v>
                </c:pt>
                <c:pt idx="1877">
                  <c:v>1.498692380518751E-2</c:v>
                </c:pt>
                <c:pt idx="1878">
                  <c:v>8.9317269355394142E-3</c:v>
                </c:pt>
                <c:pt idx="1879">
                  <c:v>9.1239895679713998E-3</c:v>
                </c:pt>
                <c:pt idx="1880">
                  <c:v>1.3319740232154733E-2</c:v>
                </c:pt>
                <c:pt idx="1881">
                  <c:v>1.2333066259708291E-2</c:v>
                </c:pt>
                <c:pt idx="1882">
                  <c:v>1.0168460866117154E-2</c:v>
                </c:pt>
                <c:pt idx="1883">
                  <c:v>1.4757781859665526E-2</c:v>
                </c:pt>
                <c:pt idx="1884">
                  <c:v>8.1179223921399382E-3</c:v>
                </c:pt>
                <c:pt idx="1885">
                  <c:v>1.1102066494267395E-2</c:v>
                </c:pt>
                <c:pt idx="1886">
                  <c:v>9.1669392764581765E-3</c:v>
                </c:pt>
                <c:pt idx="1887">
                  <c:v>1.2666003035331771E-2</c:v>
                </c:pt>
                <c:pt idx="1888">
                  <c:v>1.1620340194183482E-2</c:v>
                </c:pt>
                <c:pt idx="1889">
                  <c:v>6.1666180816158114E-2</c:v>
                </c:pt>
                <c:pt idx="1890">
                  <c:v>5.5805152322036346E-2</c:v>
                </c:pt>
                <c:pt idx="1891">
                  <c:v>8.4446506369192736E-2</c:v>
                </c:pt>
                <c:pt idx="1892">
                  <c:v>6.4472215882097186E-2</c:v>
                </c:pt>
                <c:pt idx="1893">
                  <c:v>3.9598902899436281E-2</c:v>
                </c:pt>
                <c:pt idx="1894">
                  <c:v>5.4914351920603864E-2</c:v>
                </c:pt>
                <c:pt idx="1895">
                  <c:v>4.3889399801717049E-2</c:v>
                </c:pt>
                <c:pt idx="1896">
                  <c:v>4.7986682478635065E-2</c:v>
                </c:pt>
                <c:pt idx="1897">
                  <c:v>5.2569675151100864E-2</c:v>
                </c:pt>
                <c:pt idx="1898">
                  <c:v>5.4060068665020736E-2</c:v>
                </c:pt>
                <c:pt idx="1899">
                  <c:v>3.5207931190316323E-2</c:v>
                </c:pt>
                <c:pt idx="1900">
                  <c:v>5.0504264523524078E-2</c:v>
                </c:pt>
                <c:pt idx="1901">
                  <c:v>5.503335846473896E-2</c:v>
                </c:pt>
                <c:pt idx="1902">
                  <c:v>4.956183226483462E-2</c:v>
                </c:pt>
                <c:pt idx="1903">
                  <c:v>4.0539841511478616E-2</c:v>
                </c:pt>
                <c:pt idx="1904">
                  <c:v>4.0051805868360962E-2</c:v>
                </c:pt>
                <c:pt idx="1905">
                  <c:v>2.8932201438685631E-2</c:v>
                </c:pt>
                <c:pt idx="1906">
                  <c:v>4.859987661678819E-2</c:v>
                </c:pt>
                <c:pt idx="1907">
                  <c:v>4.1106351242925269E-2</c:v>
                </c:pt>
                <c:pt idx="1908">
                  <c:v>4.2496757433736092E-2</c:v>
                </c:pt>
                <c:pt idx="1909">
                  <c:v>4.1803491308016236E-2</c:v>
                </c:pt>
                <c:pt idx="1910">
                  <c:v>3.6430064328435943E-2</c:v>
                </c:pt>
                <c:pt idx="1911">
                  <c:v>3.6379343851586539E-2</c:v>
                </c:pt>
                <c:pt idx="1912">
                  <c:v>4.420058039124538E-2</c:v>
                </c:pt>
                <c:pt idx="1913">
                  <c:v>4.8575800404597566E-2</c:v>
                </c:pt>
                <c:pt idx="1914">
                  <c:v>6.1469443384060816E-2</c:v>
                </c:pt>
                <c:pt idx="1915">
                  <c:v>4.7352760753934194E-2</c:v>
                </c:pt>
                <c:pt idx="1916">
                  <c:v>4.4970705292769225E-2</c:v>
                </c:pt>
                <c:pt idx="1917">
                  <c:v>4.7390534007851301E-2</c:v>
                </c:pt>
                <c:pt idx="1918">
                  <c:v>5.0638399628131485E-2</c:v>
                </c:pt>
                <c:pt idx="1919">
                  <c:v>4.9475033429858685E-2</c:v>
                </c:pt>
                <c:pt idx="1920">
                  <c:v>4.7159559551930387E-2</c:v>
                </c:pt>
                <c:pt idx="1921">
                  <c:v>3.351623427968492E-2</c:v>
                </c:pt>
                <c:pt idx="1922">
                  <c:v>4.4282949020876795E-2</c:v>
                </c:pt>
                <c:pt idx="1923">
                  <c:v>4.5268982062014282E-2</c:v>
                </c:pt>
                <c:pt idx="1924">
                  <c:v>4.6036825777825433E-2</c:v>
                </c:pt>
                <c:pt idx="1925">
                  <c:v>5.6896089166429555E-2</c:v>
                </c:pt>
                <c:pt idx="1926">
                  <c:v>4.1291601224940862E-2</c:v>
                </c:pt>
                <c:pt idx="1927">
                  <c:v>3.1970864796605061E-2</c:v>
                </c:pt>
                <c:pt idx="1928">
                  <c:v>2.1806385846407948E-2</c:v>
                </c:pt>
                <c:pt idx="1929">
                  <c:v>2.7985699172041141E-2</c:v>
                </c:pt>
                <c:pt idx="1930">
                  <c:v>2.5976455160592871E-2</c:v>
                </c:pt>
                <c:pt idx="1931">
                  <c:v>3.6816862676377161E-2</c:v>
                </c:pt>
                <c:pt idx="1932">
                  <c:v>4.0584145246447982E-2</c:v>
                </c:pt>
                <c:pt idx="1933">
                  <c:v>5.0084970222814149E-2</c:v>
                </c:pt>
                <c:pt idx="1934">
                  <c:v>3.9328838371026797E-2</c:v>
                </c:pt>
                <c:pt idx="1935">
                  <c:v>3.8524789469580836E-2</c:v>
                </c:pt>
                <c:pt idx="1936">
                  <c:v>4.3646343389437223E-2</c:v>
                </c:pt>
                <c:pt idx="1937">
                  <c:v>6.020208414647911E-2</c:v>
                </c:pt>
                <c:pt idx="1938">
                  <c:v>1.1084286139366949E-2</c:v>
                </c:pt>
                <c:pt idx="1939">
                  <c:v>1.290341794558136E-2</c:v>
                </c:pt>
                <c:pt idx="1940">
                  <c:v>1.2128282566324738E-2</c:v>
                </c:pt>
                <c:pt idx="1941">
                  <c:v>1.2505263151025944E-2</c:v>
                </c:pt>
                <c:pt idx="1942">
                  <c:v>9.2311432958009278E-3</c:v>
                </c:pt>
                <c:pt idx="1943">
                  <c:v>9.9605314705975539E-3</c:v>
                </c:pt>
                <c:pt idx="1944">
                  <c:v>1.0187127207047666E-2</c:v>
                </c:pt>
                <c:pt idx="1945">
                  <c:v>1.0976741810710205E-2</c:v>
                </c:pt>
                <c:pt idx="1946">
                  <c:v>1.2162067970822983E-2</c:v>
                </c:pt>
                <c:pt idx="1947">
                  <c:v>1.3728931374761532E-2</c:v>
                </c:pt>
                <c:pt idx="1948">
                  <c:v>7.38799222580158E-3</c:v>
                </c:pt>
                <c:pt idx="1949">
                  <c:v>1.1152863497529588E-2</c:v>
                </c:pt>
                <c:pt idx="1950">
                  <c:v>1.0455155253798138E-2</c:v>
                </c:pt>
                <c:pt idx="1951">
                  <c:v>9.4797911434479232E-3</c:v>
                </c:pt>
                <c:pt idx="1952">
                  <c:v>6.7817002432757865E-3</c:v>
                </c:pt>
                <c:pt idx="1953">
                  <c:v>9.1490795175380689E-3</c:v>
                </c:pt>
                <c:pt idx="1954">
                  <c:v>6.3325243100991521E-3</c:v>
                </c:pt>
                <c:pt idx="1955">
                  <c:v>9.7609954062304657E-3</c:v>
                </c:pt>
                <c:pt idx="1956">
                  <c:v>8.2091307333346363E-3</c:v>
                </c:pt>
                <c:pt idx="1957">
                  <c:v>0.16335163541026537</c:v>
                </c:pt>
                <c:pt idx="1958">
                  <c:v>8.0795580212955683E-3</c:v>
                </c:pt>
                <c:pt idx="1959">
                  <c:v>1.1958048611340045E-2</c:v>
                </c:pt>
                <c:pt idx="1960">
                  <c:v>7.7682550574058413E-3</c:v>
                </c:pt>
                <c:pt idx="1961">
                  <c:v>1.3510491482761287E-2</c:v>
                </c:pt>
                <c:pt idx="1962">
                  <c:v>8.6729738521142529E-3</c:v>
                </c:pt>
                <c:pt idx="1963">
                  <c:v>9.1962787146155495E-3</c:v>
                </c:pt>
                <c:pt idx="1964">
                  <c:v>8.478381920166882E-3</c:v>
                </c:pt>
                <c:pt idx="1965">
                  <c:v>1.113762502039258E-2</c:v>
                </c:pt>
                <c:pt idx="1966">
                  <c:v>8.6269950045023015E-3</c:v>
                </c:pt>
                <c:pt idx="1967">
                  <c:v>9.9057743164965035E-3</c:v>
                </c:pt>
                <c:pt idx="1968">
                  <c:v>9.3323197687919177E-3</c:v>
                </c:pt>
                <c:pt idx="1969">
                  <c:v>1.0159975900465485E-2</c:v>
                </c:pt>
                <c:pt idx="1970">
                  <c:v>7.3999471925613701E-3</c:v>
                </c:pt>
                <c:pt idx="1971">
                  <c:v>1.1392375960783314E-2</c:v>
                </c:pt>
                <c:pt idx="1972">
                  <c:v>8.7053264197154943E-3</c:v>
                </c:pt>
                <c:pt idx="1973">
                  <c:v>1.0265177759470988E-2</c:v>
                </c:pt>
                <c:pt idx="1974">
                  <c:v>1.3194632666787394E-2</c:v>
                </c:pt>
                <c:pt idx="1975">
                  <c:v>8.6044295300844852E-3</c:v>
                </c:pt>
                <c:pt idx="1976">
                  <c:v>6.5066885990931432E-3</c:v>
                </c:pt>
                <c:pt idx="1977">
                  <c:v>5.6471711791308572E-3</c:v>
                </c:pt>
                <c:pt idx="1978">
                  <c:v>6.7513420348164627E-3</c:v>
                </c:pt>
                <c:pt idx="1979">
                  <c:v>6.9240562066253224E-3</c:v>
                </c:pt>
                <c:pt idx="1980">
                  <c:v>1.0086998351907522E-2</c:v>
                </c:pt>
                <c:pt idx="1981">
                  <c:v>9.7686389014667793E-3</c:v>
                </c:pt>
                <c:pt idx="1982">
                  <c:v>1.0203671702178896E-2</c:v>
                </c:pt>
                <c:pt idx="1983">
                  <c:v>9.2362451948746847E-3</c:v>
                </c:pt>
                <c:pt idx="1984">
                  <c:v>8.7146911868649056E-3</c:v>
                </c:pt>
                <c:pt idx="1985">
                  <c:v>4.6653947392885545E-2</c:v>
                </c:pt>
                <c:pt idx="1986">
                  <c:v>4.8360997059911162E-2</c:v>
                </c:pt>
                <c:pt idx="1987">
                  <c:v>4.7014991961285738E-2</c:v>
                </c:pt>
                <c:pt idx="1988">
                  <c:v>5.1763578994970375E-2</c:v>
                </c:pt>
                <c:pt idx="1989">
                  <c:v>4.2607010444403966E-2</c:v>
                </c:pt>
                <c:pt idx="1990">
                  <c:v>3.1880477653937415E-2</c:v>
                </c:pt>
                <c:pt idx="1991">
                  <c:v>4.3913737215848674E-2</c:v>
                </c:pt>
                <c:pt idx="1992">
                  <c:v>4.3366994315686219E-2</c:v>
                </c:pt>
                <c:pt idx="1993">
                  <c:v>4.1859103770543513E-2</c:v>
                </c:pt>
                <c:pt idx="1994">
                  <c:v>4.0433810652882173E-2</c:v>
                </c:pt>
                <c:pt idx="1995">
                  <c:v>4.3450307075451049E-2</c:v>
                </c:pt>
                <c:pt idx="1996">
                  <c:v>3.3260864512269027E-2</c:v>
                </c:pt>
                <c:pt idx="1997">
                  <c:v>3.6428067571279241E-2</c:v>
                </c:pt>
                <c:pt idx="1998">
                  <c:v>3.381645354688223E-2</c:v>
                </c:pt>
                <c:pt idx="1999">
                  <c:v>3.4877412839302652E-2</c:v>
                </c:pt>
                <c:pt idx="2000">
                  <c:v>3.7094075706070338E-2</c:v>
                </c:pt>
                <c:pt idx="2001">
                  <c:v>2.4876274925634826E-2</c:v>
                </c:pt>
                <c:pt idx="2002">
                  <c:v>2.2235721128351729E-2</c:v>
                </c:pt>
                <c:pt idx="2003">
                  <c:v>1.9116290447072779E-2</c:v>
                </c:pt>
                <c:pt idx="2004">
                  <c:v>2.0386146123869128E-2</c:v>
                </c:pt>
                <c:pt idx="2005">
                  <c:v>2.35215976357286E-2</c:v>
                </c:pt>
                <c:pt idx="2006">
                  <c:v>1.7781851873415702E-2</c:v>
                </c:pt>
                <c:pt idx="2007">
                  <c:v>1.7463662198800658E-2</c:v>
                </c:pt>
                <c:pt idx="2008">
                  <c:v>1.8113971629550567E-2</c:v>
                </c:pt>
                <c:pt idx="2009">
                  <c:v>2.9641031105997716E-2</c:v>
                </c:pt>
                <c:pt idx="2010">
                  <c:v>1.8449167462781753E-2</c:v>
                </c:pt>
                <c:pt idx="2011">
                  <c:v>1.7208274627075127E-2</c:v>
                </c:pt>
                <c:pt idx="2012">
                  <c:v>1.9586486878035967E-2</c:v>
                </c:pt>
                <c:pt idx="2013">
                  <c:v>2.909875452598738E-2</c:v>
                </c:pt>
                <c:pt idx="2014">
                  <c:v>3.6223551020814683E-2</c:v>
                </c:pt>
                <c:pt idx="2015">
                  <c:v>3.5807030192852696E-2</c:v>
                </c:pt>
                <c:pt idx="2016">
                  <c:v>4.0512149381856988E-2</c:v>
                </c:pt>
                <c:pt idx="2017">
                  <c:v>3.3013394664246652E-2</c:v>
                </c:pt>
                <c:pt idx="2018">
                  <c:v>4.0093783446792285E-2</c:v>
                </c:pt>
                <c:pt idx="2019">
                  <c:v>4.1049456924511403E-2</c:v>
                </c:pt>
                <c:pt idx="2020">
                  <c:v>3.7388644937114794E-2</c:v>
                </c:pt>
                <c:pt idx="2021">
                  <c:v>4.4431957318350215E-2</c:v>
                </c:pt>
                <c:pt idx="2022">
                  <c:v>4.0662061387219416E-2</c:v>
                </c:pt>
                <c:pt idx="2023">
                  <c:v>3.0679449980830616E-2</c:v>
                </c:pt>
                <c:pt idx="2024">
                  <c:v>3.4389789749391157E-2</c:v>
                </c:pt>
                <c:pt idx="2025">
                  <c:v>2.5935545270670948E-2</c:v>
                </c:pt>
                <c:pt idx="2026">
                  <c:v>3.9912775672320905E-2</c:v>
                </c:pt>
                <c:pt idx="2027">
                  <c:v>3.8546250103746092E-2</c:v>
                </c:pt>
                <c:pt idx="2028">
                  <c:v>3.2651794981641849E-2</c:v>
                </c:pt>
                <c:pt idx="2029">
                  <c:v>3.2578069016172599E-2</c:v>
                </c:pt>
                <c:pt idx="2030">
                  <c:v>3.44347253008951E-2</c:v>
                </c:pt>
                <c:pt idx="2031">
                  <c:v>4.5795359388440184E-2</c:v>
                </c:pt>
                <c:pt idx="2032">
                  <c:v>4.9568418968227099E-2</c:v>
                </c:pt>
                <c:pt idx="2033">
                  <c:v>1.4968882212915115E-2</c:v>
                </c:pt>
                <c:pt idx="2034">
                  <c:v>9.4126490036819024E-3</c:v>
                </c:pt>
                <c:pt idx="2035">
                  <c:v>8.9946895593786755E-3</c:v>
                </c:pt>
                <c:pt idx="2036">
                  <c:v>1.044370807032168E-2</c:v>
                </c:pt>
                <c:pt idx="2037">
                  <c:v>8.0126253941628801E-3</c:v>
                </c:pt>
                <c:pt idx="2038">
                  <c:v>7.3222340255214907E-3</c:v>
                </c:pt>
                <c:pt idx="2039">
                  <c:v>7.3905540320969567E-3</c:v>
                </c:pt>
                <c:pt idx="2040">
                  <c:v>8.8538618785055905E-3</c:v>
                </c:pt>
                <c:pt idx="2041">
                  <c:v>8.6304010120049936E-3</c:v>
                </c:pt>
                <c:pt idx="2042">
                  <c:v>9.1103808534283744E-3</c:v>
                </c:pt>
                <c:pt idx="2043">
                  <c:v>9.266855330749087E-3</c:v>
                </c:pt>
                <c:pt idx="2044">
                  <c:v>5.6694621681645701E-3</c:v>
                </c:pt>
                <c:pt idx="2045">
                  <c:v>8.0437482172830178E-3</c:v>
                </c:pt>
                <c:pt idx="2046">
                  <c:v>7.511795580758907E-3</c:v>
                </c:pt>
                <c:pt idx="2047">
                  <c:v>8.2538754855142442E-3</c:v>
                </c:pt>
                <c:pt idx="2048">
                  <c:v>1.1457097823038186E-2</c:v>
                </c:pt>
                <c:pt idx="2049">
                  <c:v>1.9258399933593372E-2</c:v>
                </c:pt>
                <c:pt idx="2050">
                  <c:v>1.6088138567425126E-2</c:v>
                </c:pt>
                <c:pt idx="2051">
                  <c:v>7.8556982881373937E-3</c:v>
                </c:pt>
                <c:pt idx="2052">
                  <c:v>8.038632289950158E-3</c:v>
                </c:pt>
                <c:pt idx="2053">
                  <c:v>1.1361492195919908E-2</c:v>
                </c:pt>
                <c:pt idx="2054">
                  <c:v>7.3747559858683039E-3</c:v>
                </c:pt>
                <c:pt idx="2055">
                  <c:v>9.027868891114444E-3</c:v>
                </c:pt>
                <c:pt idx="2056">
                  <c:v>8.6516879537237683E-3</c:v>
                </c:pt>
                <c:pt idx="2057">
                  <c:v>1.3375753151107997E-2</c:v>
                </c:pt>
                <c:pt idx="2058">
                  <c:v>9.8853977989609432E-3</c:v>
                </c:pt>
                <c:pt idx="2059">
                  <c:v>9.980055607731797E-3</c:v>
                </c:pt>
                <c:pt idx="2060">
                  <c:v>8.9687398539933377E-3</c:v>
                </c:pt>
                <c:pt idx="2061">
                  <c:v>1.4717900489065431E-2</c:v>
                </c:pt>
                <c:pt idx="2062">
                  <c:v>1.5356401770922918E-2</c:v>
                </c:pt>
                <c:pt idx="2063">
                  <c:v>9.9414309218767045E-3</c:v>
                </c:pt>
                <c:pt idx="2064">
                  <c:v>1.0620469812899403E-2</c:v>
                </c:pt>
                <c:pt idx="2065">
                  <c:v>7.9243608743451606E-3</c:v>
                </c:pt>
                <c:pt idx="2066">
                  <c:v>1.055689473694712E-2</c:v>
                </c:pt>
                <c:pt idx="2067">
                  <c:v>1.0659881686743072E-2</c:v>
                </c:pt>
                <c:pt idx="2068">
                  <c:v>1.5462867146961632E-2</c:v>
                </c:pt>
                <c:pt idx="2069">
                  <c:v>1.097038993480985E-2</c:v>
                </c:pt>
                <c:pt idx="2070">
                  <c:v>8.4898810226350149E-3</c:v>
                </c:pt>
                <c:pt idx="2071">
                  <c:v>1.0121367213511185E-2</c:v>
                </c:pt>
                <c:pt idx="2072">
                  <c:v>8.0092145382128551E-3</c:v>
                </c:pt>
                <c:pt idx="2073">
                  <c:v>6.8787467582459884E-3</c:v>
                </c:pt>
                <c:pt idx="2074">
                  <c:v>1.364813404528285E-2</c:v>
                </c:pt>
                <c:pt idx="2075">
                  <c:v>1.0349999409731773E-2</c:v>
                </c:pt>
                <c:pt idx="2076">
                  <c:v>7.9060234821072758E-3</c:v>
                </c:pt>
                <c:pt idx="2077">
                  <c:v>8.6193313899540561E-3</c:v>
                </c:pt>
                <c:pt idx="2078">
                  <c:v>9.7605707636618626E-3</c:v>
                </c:pt>
                <c:pt idx="2079">
                  <c:v>9.7588721892352855E-3</c:v>
                </c:pt>
                <c:pt idx="2080">
                  <c:v>4.0788991251545892E-2</c:v>
                </c:pt>
                <c:pt idx="2081">
                  <c:v>4.5718749765024227E-2</c:v>
                </c:pt>
                <c:pt idx="2082">
                  <c:v>4.6437800897920212E-2</c:v>
                </c:pt>
                <c:pt idx="2083">
                  <c:v>4.7141247721183874E-2</c:v>
                </c:pt>
                <c:pt idx="2084">
                  <c:v>3.1416140086262208E-2</c:v>
                </c:pt>
                <c:pt idx="2085">
                  <c:v>4.1913131754274198E-2</c:v>
                </c:pt>
                <c:pt idx="2086">
                  <c:v>4.3021783473860389E-2</c:v>
                </c:pt>
                <c:pt idx="2087">
                  <c:v>4.3315898396413498E-2</c:v>
                </c:pt>
                <c:pt idx="2088">
                  <c:v>4.0968053481165043E-2</c:v>
                </c:pt>
                <c:pt idx="2089">
                  <c:v>4.5595598836872753E-2</c:v>
                </c:pt>
                <c:pt idx="2090">
                  <c:v>3.9692058011427805E-2</c:v>
                </c:pt>
                <c:pt idx="2091">
                  <c:v>3.2315293305534294E-2</c:v>
                </c:pt>
                <c:pt idx="2092">
                  <c:v>3.7039843626298224E-2</c:v>
                </c:pt>
                <c:pt idx="2093">
                  <c:v>3.8002651482269958E-2</c:v>
                </c:pt>
                <c:pt idx="2094">
                  <c:v>3.9390321566229382E-2</c:v>
                </c:pt>
                <c:pt idx="2095">
                  <c:v>5.5546511458456967E-2</c:v>
                </c:pt>
                <c:pt idx="2096">
                  <c:v>2.4263127129378198E-2</c:v>
                </c:pt>
                <c:pt idx="2097">
                  <c:v>2.8102954469005018E-2</c:v>
                </c:pt>
                <c:pt idx="2098">
                  <c:v>2.0375372125632313E-2</c:v>
                </c:pt>
                <c:pt idx="2099">
                  <c:v>2.3317496022710743E-2</c:v>
                </c:pt>
                <c:pt idx="2100">
                  <c:v>2.511366791985107E-2</c:v>
                </c:pt>
                <c:pt idx="2101">
                  <c:v>2.6813443190874992E-2</c:v>
                </c:pt>
                <c:pt idx="2102">
                  <c:v>1.9730932653072686E-2</c:v>
                </c:pt>
                <c:pt idx="2103">
                  <c:v>2.006861544603861E-2</c:v>
                </c:pt>
                <c:pt idx="2104">
                  <c:v>2.6922035284819727E-2</c:v>
                </c:pt>
                <c:pt idx="2105">
                  <c:v>2.2982742830827487E-2</c:v>
                </c:pt>
                <c:pt idx="2106">
                  <c:v>3.0574222100514446E-2</c:v>
                </c:pt>
                <c:pt idx="2107">
                  <c:v>2.3348364317881145E-2</c:v>
                </c:pt>
                <c:pt idx="2108">
                  <c:v>1.7623411712900126E-2</c:v>
                </c:pt>
                <c:pt idx="2109">
                  <c:v>2.3315849652005689E-2</c:v>
                </c:pt>
                <c:pt idx="2110">
                  <c:v>1.7438213639070169E-2</c:v>
                </c:pt>
                <c:pt idx="2111">
                  <c:v>2.4787270362729336E-2</c:v>
                </c:pt>
                <c:pt idx="2112">
                  <c:v>2.148493228677293E-2</c:v>
                </c:pt>
                <c:pt idx="2113">
                  <c:v>1.3282675080990373E-2</c:v>
                </c:pt>
                <c:pt idx="2114">
                  <c:v>2.350719844920179E-2</c:v>
                </c:pt>
                <c:pt idx="2115">
                  <c:v>3.5502581472246525E-2</c:v>
                </c:pt>
                <c:pt idx="2116">
                  <c:v>5.794020856579972E-2</c:v>
                </c:pt>
                <c:pt idx="2117">
                  <c:v>3.880488655048956E-2</c:v>
                </c:pt>
                <c:pt idx="2118">
                  <c:v>2.9641842389921493E-2</c:v>
                </c:pt>
                <c:pt idx="2119">
                  <c:v>3.5755436954537888E-2</c:v>
                </c:pt>
                <c:pt idx="2120">
                  <c:v>2.8876127736229093E-2</c:v>
                </c:pt>
                <c:pt idx="2121">
                  <c:v>3.2907120431180818E-2</c:v>
                </c:pt>
                <c:pt idx="2122">
                  <c:v>3.8885902230887039E-2</c:v>
                </c:pt>
                <c:pt idx="2123">
                  <c:v>3.625711112235587E-2</c:v>
                </c:pt>
                <c:pt idx="2124">
                  <c:v>3.9634978100724312E-2</c:v>
                </c:pt>
                <c:pt idx="2125">
                  <c:v>3.5486573005973181E-2</c:v>
                </c:pt>
                <c:pt idx="2126">
                  <c:v>4.8674814992229434E-2</c:v>
                </c:pt>
                <c:pt idx="2127">
                  <c:v>4.7272140863178401E-2</c:v>
                </c:pt>
                <c:pt idx="2128">
                  <c:v>4.2192629081111099E-2</c:v>
                </c:pt>
                <c:pt idx="2129">
                  <c:v>9.6284867766301269E-3</c:v>
                </c:pt>
                <c:pt idx="2130">
                  <c:v>8.1682172110246962E-3</c:v>
                </c:pt>
                <c:pt idx="2131">
                  <c:v>1.0146823876086088E-2</c:v>
                </c:pt>
                <c:pt idx="2132">
                  <c:v>9.836999737844361E-3</c:v>
                </c:pt>
                <c:pt idx="2133">
                  <c:v>7.3341908025409729E-3</c:v>
                </c:pt>
                <c:pt idx="2134">
                  <c:v>9.9842998692267759E-3</c:v>
                </c:pt>
                <c:pt idx="2135">
                  <c:v>9.657370308356103E-3</c:v>
                </c:pt>
                <c:pt idx="2136">
                  <c:v>9.1801210083761412E-3</c:v>
                </c:pt>
                <c:pt idx="2137">
                  <c:v>8.7342714111251461E-3</c:v>
                </c:pt>
                <c:pt idx="2138">
                  <c:v>8.7427842767692342E-3</c:v>
                </c:pt>
                <c:pt idx="2139">
                  <c:v>9.7355161171704813E-3</c:v>
                </c:pt>
                <c:pt idx="2140">
                  <c:v>7.6825009383120505E-3</c:v>
                </c:pt>
                <c:pt idx="2141">
                  <c:v>8.8500320892733464E-3</c:v>
                </c:pt>
                <c:pt idx="2142">
                  <c:v>1.1466826419405475E-2</c:v>
                </c:pt>
                <c:pt idx="2143">
                  <c:v>1.2998684772047952E-2</c:v>
                </c:pt>
                <c:pt idx="2144">
                  <c:v>8.8176903000600059E-3</c:v>
                </c:pt>
                <c:pt idx="2145">
                  <c:v>1.398637258898063E-2</c:v>
                </c:pt>
                <c:pt idx="2146">
                  <c:v>1.3356381079049334E-2</c:v>
                </c:pt>
                <c:pt idx="2147">
                  <c:v>1.1210003025219191E-2</c:v>
                </c:pt>
                <c:pt idx="2148">
                  <c:v>8.6823393169060525E-3</c:v>
                </c:pt>
                <c:pt idx="2149">
                  <c:v>1.1448637996874627E-2</c:v>
                </c:pt>
                <c:pt idx="2150">
                  <c:v>1.0538668165371435E-2</c:v>
                </c:pt>
                <c:pt idx="2151">
                  <c:v>8.4775301226867744E-3</c:v>
                </c:pt>
                <c:pt idx="2152">
                  <c:v>9.3242435210875562E-3</c:v>
                </c:pt>
                <c:pt idx="2153">
                  <c:v>1.38963696455416E-2</c:v>
                </c:pt>
                <c:pt idx="2154">
                  <c:v>9.3743988401117431E-3</c:v>
                </c:pt>
                <c:pt idx="2155">
                  <c:v>1.5109838426957543E-2</c:v>
                </c:pt>
                <c:pt idx="2156">
                  <c:v>9.1167599914662827E-3</c:v>
                </c:pt>
                <c:pt idx="2157">
                  <c:v>8.7917300162486754E-3</c:v>
                </c:pt>
                <c:pt idx="2158">
                  <c:v>1.3222858733796819E-2</c:v>
                </c:pt>
                <c:pt idx="2159">
                  <c:v>8.7789620942761593E-3</c:v>
                </c:pt>
                <c:pt idx="2160">
                  <c:v>6.7222645779195997E-3</c:v>
                </c:pt>
                <c:pt idx="2161">
                  <c:v>9.9269988390236503E-3</c:v>
                </c:pt>
                <c:pt idx="2162">
                  <c:v>6.3706153428729814E-3</c:v>
                </c:pt>
                <c:pt idx="2163">
                  <c:v>9.5634918059131543E-3</c:v>
                </c:pt>
                <c:pt idx="2164">
                  <c:v>1.0480592359098843E-2</c:v>
                </c:pt>
                <c:pt idx="2165">
                  <c:v>9.535026893319528E-3</c:v>
                </c:pt>
                <c:pt idx="2166">
                  <c:v>9.9859975622110138E-3</c:v>
                </c:pt>
                <c:pt idx="2167">
                  <c:v>8.7564045147285798E-3</c:v>
                </c:pt>
                <c:pt idx="2168">
                  <c:v>1.6470897974400225E-2</c:v>
                </c:pt>
                <c:pt idx="2169">
                  <c:v>9.9461000224733108E-3</c:v>
                </c:pt>
                <c:pt idx="2170">
                  <c:v>1.0414876789814074E-2</c:v>
                </c:pt>
                <c:pt idx="2171">
                  <c:v>1.1772954365800064E-2</c:v>
                </c:pt>
                <c:pt idx="2172">
                  <c:v>6.6149176944088938E-3</c:v>
                </c:pt>
                <c:pt idx="2173">
                  <c:v>7.7396722324087142E-3</c:v>
                </c:pt>
                <c:pt idx="2174">
                  <c:v>6.4108426939487448E-3</c:v>
                </c:pt>
                <c:pt idx="2175">
                  <c:v>8.9942641668730762E-3</c:v>
                </c:pt>
                <c:pt idx="2176">
                  <c:v>4.1196813664765249E-2</c:v>
                </c:pt>
                <c:pt idx="2177">
                  <c:v>5.7940968671025432E-2</c:v>
                </c:pt>
                <c:pt idx="2178">
                  <c:v>3.98323475764438E-2</c:v>
                </c:pt>
                <c:pt idx="2179">
                  <c:v>3.9508503518934389E-2</c:v>
                </c:pt>
                <c:pt idx="2180">
                  <c:v>2.7401393794338494E-2</c:v>
                </c:pt>
                <c:pt idx="2181">
                  <c:v>4.5506439231312631E-2</c:v>
                </c:pt>
                <c:pt idx="2182">
                  <c:v>4.1479930103913092E-2</c:v>
                </c:pt>
                <c:pt idx="2183">
                  <c:v>4.1752211095992538E-2</c:v>
                </c:pt>
                <c:pt idx="2184">
                  <c:v>4.5023564536417558E-2</c:v>
                </c:pt>
                <c:pt idx="2185">
                  <c:v>4.3247105933659657E-2</c:v>
                </c:pt>
                <c:pt idx="2186">
                  <c:v>3.152035641449679E-2</c:v>
                </c:pt>
                <c:pt idx="2187">
                  <c:v>3.0472612530282425E-2</c:v>
                </c:pt>
                <c:pt idx="2188">
                  <c:v>3.5341669545012416E-2</c:v>
                </c:pt>
                <c:pt idx="2189">
                  <c:v>4.2103556372912902E-2</c:v>
                </c:pt>
                <c:pt idx="2190">
                  <c:v>3.3218221229174158E-2</c:v>
                </c:pt>
                <c:pt idx="2191">
                  <c:v>3.0538195929288945E-2</c:v>
                </c:pt>
                <c:pt idx="2192">
                  <c:v>3.1400788281318918E-2</c:v>
                </c:pt>
                <c:pt idx="2193">
                  <c:v>3.7889233157644767E-2</c:v>
                </c:pt>
                <c:pt idx="2194">
                  <c:v>2.8064280005378885E-2</c:v>
                </c:pt>
                <c:pt idx="2195">
                  <c:v>2.4609616865613991E-2</c:v>
                </c:pt>
                <c:pt idx="2196">
                  <c:v>1.9070572832218982E-2</c:v>
                </c:pt>
                <c:pt idx="2197">
                  <c:v>2.1058163701590214E-2</c:v>
                </c:pt>
                <c:pt idx="2198">
                  <c:v>1.706089942025266E-2</c:v>
                </c:pt>
                <c:pt idx="2199">
                  <c:v>1.4273920527577122E-2</c:v>
                </c:pt>
                <c:pt idx="2200">
                  <c:v>2.3285390668145153E-2</c:v>
                </c:pt>
                <c:pt idx="2201">
                  <c:v>2.1203361711196227E-2</c:v>
                </c:pt>
                <c:pt idx="2202">
                  <c:v>2.5798059806470701E-2</c:v>
                </c:pt>
                <c:pt idx="2203">
                  <c:v>2.4117305332301487E-2</c:v>
                </c:pt>
                <c:pt idx="2204">
                  <c:v>2.7694867143960963E-2</c:v>
                </c:pt>
                <c:pt idx="2205">
                  <c:v>2.7171367740293398E-2</c:v>
                </c:pt>
                <c:pt idx="2206">
                  <c:v>2.6203435031347963E-2</c:v>
                </c:pt>
                <c:pt idx="2207">
                  <c:v>3.05122876217599E-2</c:v>
                </c:pt>
                <c:pt idx="2208">
                  <c:v>2.5964182598244508E-2</c:v>
                </c:pt>
                <c:pt idx="2209">
                  <c:v>3.0048510438773716E-2</c:v>
                </c:pt>
                <c:pt idx="2210">
                  <c:v>2.6774245390221989E-2</c:v>
                </c:pt>
                <c:pt idx="2211">
                  <c:v>3.538730734219532E-2</c:v>
                </c:pt>
                <c:pt idx="2212">
                  <c:v>3.3493317457708442E-2</c:v>
                </c:pt>
                <c:pt idx="2213">
                  <c:v>3.4823304061902385E-2</c:v>
                </c:pt>
                <c:pt idx="2214">
                  <c:v>3.5519389726777852E-2</c:v>
                </c:pt>
                <c:pt idx="2215">
                  <c:v>3.1517933062968344E-2</c:v>
                </c:pt>
                <c:pt idx="2216">
                  <c:v>3.4782417403093256E-2</c:v>
                </c:pt>
                <c:pt idx="2217">
                  <c:v>3.80277189044569E-2</c:v>
                </c:pt>
                <c:pt idx="2218">
                  <c:v>4.5236502537609483E-2</c:v>
                </c:pt>
                <c:pt idx="2219">
                  <c:v>4.2426259590075989E-2</c:v>
                </c:pt>
                <c:pt idx="2220">
                  <c:v>4.1624378671749979E-2</c:v>
                </c:pt>
                <c:pt idx="2221">
                  <c:v>4.2188294106733568E-2</c:v>
                </c:pt>
                <c:pt idx="2222">
                  <c:v>4.4741965976950265E-2</c:v>
                </c:pt>
                <c:pt idx="2223">
                  <c:v>4.8853760559936038E-2</c:v>
                </c:pt>
                <c:pt idx="2224">
                  <c:v>1.7728905934643518E-2</c:v>
                </c:pt>
                <c:pt idx="2225">
                  <c:v>6.6217613154744143E-3</c:v>
                </c:pt>
                <c:pt idx="2226">
                  <c:v>9.3548474554718195E-3</c:v>
                </c:pt>
                <c:pt idx="2227">
                  <c:v>1.0107789716647728E-2</c:v>
                </c:pt>
                <c:pt idx="2228">
                  <c:v>8.4042692887491138E-3</c:v>
                </c:pt>
                <c:pt idx="2229">
                  <c:v>5.7980416918178776E-3</c:v>
                </c:pt>
                <c:pt idx="2230">
                  <c:v>8.511174852885741E-3</c:v>
                </c:pt>
                <c:pt idx="2231">
                  <c:v>7.6795141713156727E-3</c:v>
                </c:pt>
                <c:pt idx="2232">
                  <c:v>6.9514105662237344E-3</c:v>
                </c:pt>
                <c:pt idx="2233">
                  <c:v>7.5860606569483598E-3</c:v>
                </c:pt>
                <c:pt idx="2234">
                  <c:v>1.0552232198425058E-2</c:v>
                </c:pt>
                <c:pt idx="2235">
                  <c:v>6.4690373732616711E-3</c:v>
                </c:pt>
                <c:pt idx="2236">
                  <c:v>6.1360242358286712E-3</c:v>
                </c:pt>
                <c:pt idx="2237">
                  <c:v>6.9663692529052306E-3</c:v>
                </c:pt>
                <c:pt idx="2238">
                  <c:v>6.9317497944082675E-3</c:v>
                </c:pt>
                <c:pt idx="2239">
                  <c:v>7.0338906263864177E-3</c:v>
                </c:pt>
                <c:pt idx="2240">
                  <c:v>1.0280446879171921E-2</c:v>
                </c:pt>
                <c:pt idx="2241">
                  <c:v>2.2503840307009467E-2</c:v>
                </c:pt>
                <c:pt idx="2242">
                  <c:v>2.2638662321154739E-2</c:v>
                </c:pt>
                <c:pt idx="2243">
                  <c:v>1.8679698624001592E-2</c:v>
                </c:pt>
                <c:pt idx="2244">
                  <c:v>9.8382734401337591E-3</c:v>
                </c:pt>
                <c:pt idx="2245">
                  <c:v>7.7140740759928193E-3</c:v>
                </c:pt>
                <c:pt idx="2246">
                  <c:v>7.6948744684790437E-3</c:v>
                </c:pt>
                <c:pt idx="2247">
                  <c:v>9.5511714011042893E-3</c:v>
                </c:pt>
                <c:pt idx="2248">
                  <c:v>8.495417518939086E-3</c:v>
                </c:pt>
                <c:pt idx="2249">
                  <c:v>1.0588259604198314E-2</c:v>
                </c:pt>
                <c:pt idx="2250">
                  <c:v>1.4565057960635789E-2</c:v>
                </c:pt>
                <c:pt idx="2251">
                  <c:v>2.2952672412926468E-2</c:v>
                </c:pt>
                <c:pt idx="2252">
                  <c:v>1.7570863528103067E-2</c:v>
                </c:pt>
                <c:pt idx="2253">
                  <c:v>1.7293837846170699E-2</c:v>
                </c:pt>
                <c:pt idx="2254">
                  <c:v>1.3347958169493197E-2</c:v>
                </c:pt>
                <c:pt idx="2255">
                  <c:v>9.9821777436640141E-3</c:v>
                </c:pt>
                <c:pt idx="2256">
                  <c:v>1.2589226575319313E-2</c:v>
                </c:pt>
                <c:pt idx="2257">
                  <c:v>1.0095060427814532E-2</c:v>
                </c:pt>
                <c:pt idx="2258">
                  <c:v>1.0092090206734523E-2</c:v>
                </c:pt>
                <c:pt idx="2259">
                  <c:v>9.4020242961665272E-3</c:v>
                </c:pt>
                <c:pt idx="2260">
                  <c:v>7.7183405401748907E-3</c:v>
                </c:pt>
                <c:pt idx="2261">
                  <c:v>8.4971210420638019E-3</c:v>
                </c:pt>
                <c:pt idx="2262">
                  <c:v>1.1041102246609442E-2</c:v>
                </c:pt>
                <c:pt idx="2263">
                  <c:v>1.9106316105198855E-2</c:v>
                </c:pt>
                <c:pt idx="2264">
                  <c:v>1.6120361924668789E-2</c:v>
                </c:pt>
                <c:pt idx="2265">
                  <c:v>1.0400460431775923E-2</c:v>
                </c:pt>
                <c:pt idx="2266">
                  <c:v>9.2932123301620352E-3</c:v>
                </c:pt>
                <c:pt idx="2267">
                  <c:v>8.3633741465670621E-3</c:v>
                </c:pt>
                <c:pt idx="2268">
                  <c:v>1.0346182791420211E-2</c:v>
                </c:pt>
                <c:pt idx="2269">
                  <c:v>1.2437743095557448E-2</c:v>
                </c:pt>
                <c:pt idx="2270">
                  <c:v>1.4137737341410699E-2</c:v>
                </c:pt>
                <c:pt idx="2271">
                  <c:v>9.304689878337713E-3</c:v>
                </c:pt>
                <c:pt idx="2272">
                  <c:v>5.3758561571979092E-2</c:v>
                </c:pt>
                <c:pt idx="2273">
                  <c:v>4.9998662957293549E-2</c:v>
                </c:pt>
                <c:pt idx="2274">
                  <c:v>4.8301548071474583E-2</c:v>
                </c:pt>
                <c:pt idx="2275">
                  <c:v>4.7114752641880323E-2</c:v>
                </c:pt>
                <c:pt idx="2276">
                  <c:v>4.3923157784211839E-2</c:v>
                </c:pt>
                <c:pt idx="2277">
                  <c:v>4.3411403577643955E-2</c:v>
                </c:pt>
                <c:pt idx="2278">
                  <c:v>2.5086614130400933E-2</c:v>
                </c:pt>
                <c:pt idx="2279">
                  <c:v>4.3158249255773891E-2</c:v>
                </c:pt>
                <c:pt idx="2280">
                  <c:v>4.2810511229749701E-2</c:v>
                </c:pt>
                <c:pt idx="2281">
                  <c:v>4.1928510754278329E-2</c:v>
                </c:pt>
                <c:pt idx="2282">
                  <c:v>4.5225545041658544E-2</c:v>
                </c:pt>
                <c:pt idx="2283">
                  <c:v>4.6518185624295251E-2</c:v>
                </c:pt>
                <c:pt idx="2284">
                  <c:v>3.9937733087645505E-2</c:v>
                </c:pt>
                <c:pt idx="2285">
                  <c:v>3.5785833712694712E-2</c:v>
                </c:pt>
                <c:pt idx="2286">
                  <c:v>3.0778583695002696E-2</c:v>
                </c:pt>
                <c:pt idx="2287">
                  <c:v>2.7682235570452483E-2</c:v>
                </c:pt>
                <c:pt idx="2288">
                  <c:v>2.9707551355224685E-2</c:v>
                </c:pt>
                <c:pt idx="2289">
                  <c:v>3.3217014282872603E-2</c:v>
                </c:pt>
                <c:pt idx="2290">
                  <c:v>2.7345937665035742E-2</c:v>
                </c:pt>
                <c:pt idx="2291">
                  <c:v>1.7357686240450233E-2</c:v>
                </c:pt>
                <c:pt idx="2292">
                  <c:v>1.9481027727319227E-2</c:v>
                </c:pt>
                <c:pt idx="2293">
                  <c:v>1.360941333058514E-2</c:v>
                </c:pt>
                <c:pt idx="2294">
                  <c:v>1.5337117848169605E-2</c:v>
                </c:pt>
                <c:pt idx="2295">
                  <c:v>2.3310910502442921E-2</c:v>
                </c:pt>
                <c:pt idx="2296">
                  <c:v>1.9373466232956178E-2</c:v>
                </c:pt>
                <c:pt idx="2297">
                  <c:v>1.8377569710381632E-2</c:v>
                </c:pt>
                <c:pt idx="2298">
                  <c:v>2.426230573525642E-2</c:v>
                </c:pt>
                <c:pt idx="2299">
                  <c:v>2.5025531953516835E-2</c:v>
                </c:pt>
                <c:pt idx="2300">
                  <c:v>2.523743800787984E-2</c:v>
                </c:pt>
                <c:pt idx="2301">
                  <c:v>2.7011011572256341E-2</c:v>
                </c:pt>
                <c:pt idx="2302">
                  <c:v>3.2787128111343086E-2</c:v>
                </c:pt>
                <c:pt idx="2303">
                  <c:v>2.4363736159652653E-2</c:v>
                </c:pt>
                <c:pt idx="2304">
                  <c:v>2.9596408156125346E-2</c:v>
                </c:pt>
                <c:pt idx="2305">
                  <c:v>2.6876315607315408E-2</c:v>
                </c:pt>
                <c:pt idx="2306">
                  <c:v>2.8201050028984702E-2</c:v>
                </c:pt>
                <c:pt idx="2307">
                  <c:v>2.7661453795252477E-2</c:v>
                </c:pt>
                <c:pt idx="2308">
                  <c:v>2.7571387942910447E-2</c:v>
                </c:pt>
                <c:pt idx="2309">
                  <c:v>3.5845821071761541E-2</c:v>
                </c:pt>
                <c:pt idx="2310">
                  <c:v>2.5657665153734445E-2</c:v>
                </c:pt>
                <c:pt idx="2311">
                  <c:v>2.8826549302419242E-2</c:v>
                </c:pt>
                <c:pt idx="2312">
                  <c:v>2.5394353992725941E-2</c:v>
                </c:pt>
                <c:pt idx="2313">
                  <c:v>3.2241510188445371E-2</c:v>
                </c:pt>
                <c:pt idx="2314">
                  <c:v>1.9613470341279832E-2</c:v>
                </c:pt>
                <c:pt idx="2315">
                  <c:v>3.4444353742780834E-2</c:v>
                </c:pt>
                <c:pt idx="2316">
                  <c:v>3.5546601712111353E-2</c:v>
                </c:pt>
                <c:pt idx="2317">
                  <c:v>3.7508169498163026E-2</c:v>
                </c:pt>
                <c:pt idx="2318">
                  <c:v>3.69277691227861E-2</c:v>
                </c:pt>
                <c:pt idx="2319">
                  <c:v>3.6548655237856519E-2</c:v>
                </c:pt>
                <c:pt idx="2320">
                  <c:v>0.14405710501442981</c:v>
                </c:pt>
                <c:pt idx="2321">
                  <c:v>1.4119660436731633E-2</c:v>
                </c:pt>
                <c:pt idx="2322">
                  <c:v>1.055138445877039E-2</c:v>
                </c:pt>
                <c:pt idx="2323">
                  <c:v>1.2755417845945312E-2</c:v>
                </c:pt>
                <c:pt idx="2324">
                  <c:v>1.1136778422651759E-2</c:v>
                </c:pt>
                <c:pt idx="2325">
                  <c:v>1.030504599845132E-2</c:v>
                </c:pt>
                <c:pt idx="2326">
                  <c:v>8.3399429028012048E-3</c:v>
                </c:pt>
                <c:pt idx="2327">
                  <c:v>6.7624593715071915E-3</c:v>
                </c:pt>
                <c:pt idx="2328">
                  <c:v>8.6367872040762003E-3</c:v>
                </c:pt>
                <c:pt idx="2329">
                  <c:v>1.0543754727411621E-2</c:v>
                </c:pt>
                <c:pt idx="2330">
                  <c:v>1.140802853721389E-2</c:v>
                </c:pt>
                <c:pt idx="2331">
                  <c:v>1.0342790213652064E-2</c:v>
                </c:pt>
                <c:pt idx="2332">
                  <c:v>9.7924178041714598E-3</c:v>
                </c:pt>
                <c:pt idx="2333">
                  <c:v>8.1392344672052003E-3</c:v>
                </c:pt>
                <c:pt idx="2334">
                  <c:v>6.3059870094286964E-3</c:v>
                </c:pt>
                <c:pt idx="2335">
                  <c:v>6.8642125376105548E-3</c:v>
                </c:pt>
                <c:pt idx="2336">
                  <c:v>1.7347671426764001E-2</c:v>
                </c:pt>
                <c:pt idx="2337">
                  <c:v>1.8795750132202829E-2</c:v>
                </c:pt>
                <c:pt idx="2338">
                  <c:v>1.5306094088674742E-2</c:v>
                </c:pt>
                <c:pt idx="2339">
                  <c:v>1.2710290973609005E-2</c:v>
                </c:pt>
                <c:pt idx="2340">
                  <c:v>1.5208396693188879E-2</c:v>
                </c:pt>
                <c:pt idx="2341">
                  <c:v>6.9629501699451169E-3</c:v>
                </c:pt>
                <c:pt idx="2342">
                  <c:v>8.539281110255318E-3</c:v>
                </c:pt>
                <c:pt idx="2343">
                  <c:v>1.0821729511225174E-2</c:v>
                </c:pt>
                <c:pt idx="2344">
                  <c:v>8.1937886141446679E-3</c:v>
                </c:pt>
                <c:pt idx="2345">
                  <c:v>6.7958096741511081E-3</c:v>
                </c:pt>
                <c:pt idx="2346">
                  <c:v>1.2495979765837982E-2</c:v>
                </c:pt>
                <c:pt idx="2347">
                  <c:v>1.4152450545584781E-2</c:v>
                </c:pt>
                <c:pt idx="2348">
                  <c:v>1.3957354985747036E-2</c:v>
                </c:pt>
                <c:pt idx="2349">
                  <c:v>1.3624144444121524E-2</c:v>
                </c:pt>
                <c:pt idx="2350">
                  <c:v>1.2332644124616671E-2</c:v>
                </c:pt>
                <c:pt idx="2351">
                  <c:v>1.4963427630491914E-2</c:v>
                </c:pt>
                <c:pt idx="2352">
                  <c:v>1.8508268341415647E-2</c:v>
                </c:pt>
                <c:pt idx="2353">
                  <c:v>1.9637546477752059E-2</c:v>
                </c:pt>
                <c:pt idx="2354">
                  <c:v>1.8255576585197449E-2</c:v>
                </c:pt>
                <c:pt idx="2355">
                  <c:v>1.1884104893518476E-2</c:v>
                </c:pt>
                <c:pt idx="2356">
                  <c:v>1.0622588821826418E-2</c:v>
                </c:pt>
                <c:pt idx="2357">
                  <c:v>1.3895949027252982E-2</c:v>
                </c:pt>
                <c:pt idx="2358">
                  <c:v>1.4725037424431891E-2</c:v>
                </c:pt>
                <c:pt idx="2359">
                  <c:v>1.2825418481112856E-2</c:v>
                </c:pt>
                <c:pt idx="2360">
                  <c:v>9.3225432392752185E-3</c:v>
                </c:pt>
                <c:pt idx="2361">
                  <c:v>1.2560537381670196E-2</c:v>
                </c:pt>
                <c:pt idx="2362">
                  <c:v>8.6252919907339395E-3</c:v>
                </c:pt>
                <c:pt idx="2363">
                  <c:v>1.0002549721026112E-2</c:v>
                </c:pt>
                <c:pt idx="2364">
                  <c:v>2.2455591069208133E-2</c:v>
                </c:pt>
                <c:pt idx="2365">
                  <c:v>1.180507683252293E-2</c:v>
                </c:pt>
                <c:pt idx="2366">
                  <c:v>1.8596072400937608E-2</c:v>
                </c:pt>
                <c:pt idx="2367">
                  <c:v>1.1437216970144713E-2</c:v>
                </c:pt>
                <c:pt idx="2368">
                  <c:v>4.1089757836631366E-2</c:v>
                </c:pt>
                <c:pt idx="2369">
                  <c:v>4.2451072985381685E-2</c:v>
                </c:pt>
                <c:pt idx="2370">
                  <c:v>3.382087289622504E-2</c:v>
                </c:pt>
                <c:pt idx="2371">
                  <c:v>3.4873004228221531E-2</c:v>
                </c:pt>
                <c:pt idx="2372">
                  <c:v>3.9371282539368217E-2</c:v>
                </c:pt>
                <c:pt idx="2373">
                  <c:v>4.305521565701232E-2</c:v>
                </c:pt>
                <c:pt idx="2374">
                  <c:v>4.7203972274460319E-2</c:v>
                </c:pt>
                <c:pt idx="2375">
                  <c:v>3.6648454140126921E-2</c:v>
                </c:pt>
                <c:pt idx="2376">
                  <c:v>3.4914283106976286E-2</c:v>
                </c:pt>
                <c:pt idx="2377">
                  <c:v>3.3006954541879636E-2</c:v>
                </c:pt>
                <c:pt idx="2378">
                  <c:v>3.6033727826201192E-2</c:v>
                </c:pt>
                <c:pt idx="2379">
                  <c:v>3.8415880277055094E-2</c:v>
                </c:pt>
                <c:pt idx="2380">
                  <c:v>3.4000421149435217E-2</c:v>
                </c:pt>
                <c:pt idx="2381">
                  <c:v>3.0171287445001218E-2</c:v>
                </c:pt>
                <c:pt idx="2382">
                  <c:v>2.9893267378950334E-2</c:v>
                </c:pt>
                <c:pt idx="2383">
                  <c:v>2.7619479726545607E-2</c:v>
                </c:pt>
                <c:pt idx="2384">
                  <c:v>2.6043130022163401E-2</c:v>
                </c:pt>
                <c:pt idx="2385">
                  <c:v>3.5206329283783887E-2</c:v>
                </c:pt>
                <c:pt idx="2386">
                  <c:v>3.7114809711703167E-2</c:v>
                </c:pt>
                <c:pt idx="2387">
                  <c:v>2.9442220860517881E-2</c:v>
                </c:pt>
                <c:pt idx="2388">
                  <c:v>2.3433960911697426E-2</c:v>
                </c:pt>
                <c:pt idx="2389">
                  <c:v>2.7988956691137722E-2</c:v>
                </c:pt>
                <c:pt idx="2390">
                  <c:v>3.2208848084925121E-2</c:v>
                </c:pt>
                <c:pt idx="2391">
                  <c:v>3.6558236927659353E-2</c:v>
                </c:pt>
                <c:pt idx="2392">
                  <c:v>3.5267197578600029E-2</c:v>
                </c:pt>
                <c:pt idx="2393">
                  <c:v>2.0336832174684936E-2</c:v>
                </c:pt>
                <c:pt idx="2394">
                  <c:v>1.9956636739114915E-2</c:v>
                </c:pt>
                <c:pt idx="2395">
                  <c:v>1.6226221839322517E-2</c:v>
                </c:pt>
                <c:pt idx="2396">
                  <c:v>5.0431961275962729E-2</c:v>
                </c:pt>
                <c:pt idx="2397">
                  <c:v>7.4725404735780307E-2</c:v>
                </c:pt>
                <c:pt idx="2398">
                  <c:v>0.11155385037382114</c:v>
                </c:pt>
                <c:pt idx="2399">
                  <c:v>0.12716831738998693</c:v>
                </c:pt>
                <c:pt idx="2400">
                  <c:v>0.12778487636217148</c:v>
                </c:pt>
                <c:pt idx="2401">
                  <c:v>0.20069513071533018</c:v>
                </c:pt>
                <c:pt idx="2402">
                  <c:v>0.2011132378665034</c:v>
                </c:pt>
                <c:pt idx="2403">
                  <c:v>0.21530464417019929</c:v>
                </c:pt>
                <c:pt idx="2404">
                  <c:v>0.22681300516397945</c:v>
                </c:pt>
                <c:pt idx="2405">
                  <c:v>0.18996477451728602</c:v>
                </c:pt>
                <c:pt idx="2406">
                  <c:v>0.2188622846816202</c:v>
                </c:pt>
                <c:pt idx="2407">
                  <c:v>0.19368297579900329</c:v>
                </c:pt>
                <c:pt idx="2408">
                  <c:v>0.22606940700097145</c:v>
                </c:pt>
                <c:pt idx="2409">
                  <c:v>0.20936620297780142</c:v>
                </c:pt>
                <c:pt idx="2410">
                  <c:v>0.24256428530120014</c:v>
                </c:pt>
                <c:pt idx="2411">
                  <c:v>0.20495140310632504</c:v>
                </c:pt>
                <c:pt idx="2412">
                  <c:v>0.16573682109891971</c:v>
                </c:pt>
                <c:pt idx="2413">
                  <c:v>0.18081005255968216</c:v>
                </c:pt>
                <c:pt idx="2414">
                  <c:v>0.16041630459267253</c:v>
                </c:pt>
                <c:pt idx="2415">
                  <c:v>0.1531905556164373</c:v>
                </c:pt>
                <c:pt idx="2416">
                  <c:v>0.16145784697175081</c:v>
                </c:pt>
                <c:pt idx="2417">
                  <c:v>0.12836372232786042</c:v>
                </c:pt>
                <c:pt idx="2418">
                  <c:v>9.9621258153814563E-2</c:v>
                </c:pt>
                <c:pt idx="2419">
                  <c:v>5.957136916598605E-2</c:v>
                </c:pt>
                <c:pt idx="2420">
                  <c:v>5.9138002371193273E-2</c:v>
                </c:pt>
                <c:pt idx="2421">
                  <c:v>7.5259648092104406E-2</c:v>
                </c:pt>
                <c:pt idx="2422">
                  <c:v>6.8804939517644437E-2</c:v>
                </c:pt>
                <c:pt idx="2423">
                  <c:v>6.082395626371432E-2</c:v>
                </c:pt>
                <c:pt idx="2424">
                  <c:v>7.904586983687617E-2</c:v>
                </c:pt>
                <c:pt idx="2425">
                  <c:v>6.7295574132824984E-2</c:v>
                </c:pt>
                <c:pt idx="2426">
                  <c:v>4.213548276261924E-2</c:v>
                </c:pt>
                <c:pt idx="2427">
                  <c:v>5.1825639538908203E-2</c:v>
                </c:pt>
                <c:pt idx="2428">
                  <c:v>6.9159148970652104E-2</c:v>
                </c:pt>
                <c:pt idx="2429">
                  <c:v>8.1570519569522312E-2</c:v>
                </c:pt>
                <c:pt idx="2430">
                  <c:v>5.8115757541934536E-2</c:v>
                </c:pt>
                <c:pt idx="2431">
                  <c:v>9.9308327788865253E-2</c:v>
                </c:pt>
                <c:pt idx="2432">
                  <c:v>0.12765833297281284</c:v>
                </c:pt>
                <c:pt idx="2433">
                  <c:v>0.10422242514904473</c:v>
                </c:pt>
                <c:pt idx="2434">
                  <c:v>0.12598813466672365</c:v>
                </c:pt>
                <c:pt idx="2435">
                  <c:v>8.0003094065693794E-2</c:v>
                </c:pt>
                <c:pt idx="2436">
                  <c:v>0.15536822873007286</c:v>
                </c:pt>
                <c:pt idx="2437">
                  <c:v>0.18847399368008214</c:v>
                </c:pt>
                <c:pt idx="2438">
                  <c:v>0.13367045412719264</c:v>
                </c:pt>
                <c:pt idx="2439">
                  <c:v>0.19152311142505021</c:v>
                </c:pt>
                <c:pt idx="2440">
                  <c:v>0.14160182823987258</c:v>
                </c:pt>
                <c:pt idx="2441">
                  <c:v>0.11038934996706713</c:v>
                </c:pt>
                <c:pt idx="2442">
                  <c:v>0.17814379882832493</c:v>
                </c:pt>
                <c:pt idx="2443">
                  <c:v>0.16920786055735604</c:v>
                </c:pt>
                <c:pt idx="2444">
                  <c:v>0.21132722265389015</c:v>
                </c:pt>
                <c:pt idx="2445">
                  <c:v>0.22133884925420885</c:v>
                </c:pt>
                <c:pt idx="2446">
                  <c:v>0.16925109921134479</c:v>
                </c:pt>
                <c:pt idx="2447">
                  <c:v>0.13427466938665208</c:v>
                </c:pt>
                <c:pt idx="2448">
                  <c:v>0.12093635003468066</c:v>
                </c:pt>
                <c:pt idx="2449">
                  <c:v>8.7938579667504752E-3</c:v>
                </c:pt>
                <c:pt idx="2450">
                  <c:v>8.1140861075569507E-3</c:v>
                </c:pt>
                <c:pt idx="2451">
                  <c:v>8.631252509706951E-3</c:v>
                </c:pt>
                <c:pt idx="2452">
                  <c:v>9.698143789035843E-3</c:v>
                </c:pt>
                <c:pt idx="2453">
                  <c:v>7.2667161053293168E-3</c:v>
                </c:pt>
                <c:pt idx="2454">
                  <c:v>6.7996576211995672E-3</c:v>
                </c:pt>
                <c:pt idx="2455">
                  <c:v>1.0562828804489518E-2</c:v>
                </c:pt>
                <c:pt idx="2456">
                  <c:v>8.6584995547179574E-3</c:v>
                </c:pt>
                <c:pt idx="2457">
                  <c:v>9.7720359672806307E-3</c:v>
                </c:pt>
                <c:pt idx="2458">
                  <c:v>7.1659115868472024E-3</c:v>
                </c:pt>
                <c:pt idx="2459">
                  <c:v>8.2670849595294586E-3</c:v>
                </c:pt>
                <c:pt idx="2460">
                  <c:v>9.0848633642354303E-3</c:v>
                </c:pt>
                <c:pt idx="2461">
                  <c:v>9.4734173356071823E-3</c:v>
                </c:pt>
                <c:pt idx="2462">
                  <c:v>8.7870484884429254E-3</c:v>
                </c:pt>
                <c:pt idx="2463">
                  <c:v>7.2257137004969945E-3</c:v>
                </c:pt>
                <c:pt idx="2464">
                  <c:v>7.2269950842454708E-3</c:v>
                </c:pt>
                <c:pt idx="2465">
                  <c:v>8.3344044240997988E-3</c:v>
                </c:pt>
                <c:pt idx="2466">
                  <c:v>8.5580176046891453E-3</c:v>
                </c:pt>
                <c:pt idx="2467">
                  <c:v>1.0189672555014481E-2</c:v>
                </c:pt>
                <c:pt idx="2468">
                  <c:v>6.1878335391613304E-3</c:v>
                </c:pt>
                <c:pt idx="2469">
                  <c:v>9.4989120057285478E-3</c:v>
                </c:pt>
                <c:pt idx="2470">
                  <c:v>0.24933412965174226</c:v>
                </c:pt>
                <c:pt idx="2471">
                  <c:v>8.1264473476677871E-3</c:v>
                </c:pt>
                <c:pt idx="2472">
                  <c:v>1.1784366566874099E-2</c:v>
                </c:pt>
                <c:pt idx="2473">
                  <c:v>8.5133041784889486E-3</c:v>
                </c:pt>
                <c:pt idx="2474">
                  <c:v>1.0342366139567669E-2</c:v>
                </c:pt>
                <c:pt idx="2475">
                  <c:v>7.8023813397803277E-3</c:v>
                </c:pt>
                <c:pt idx="2476">
                  <c:v>1.1312835234103452E-2</c:v>
                </c:pt>
                <c:pt idx="2477">
                  <c:v>7.8164576500723698E-3</c:v>
                </c:pt>
                <c:pt idx="2478">
                  <c:v>1.0450915591394848E-2</c:v>
                </c:pt>
                <c:pt idx="2479">
                  <c:v>1.2413264482855501E-2</c:v>
                </c:pt>
                <c:pt idx="2480">
                  <c:v>8.7772596763183563E-3</c:v>
                </c:pt>
                <c:pt idx="2481">
                  <c:v>1.0018252468054475E-2</c:v>
                </c:pt>
                <c:pt idx="2482">
                  <c:v>1.0629369580915149E-2</c:v>
                </c:pt>
                <c:pt idx="2483">
                  <c:v>1.5901865821488365E-2</c:v>
                </c:pt>
                <c:pt idx="2484">
                  <c:v>7.8471680162490523E-3</c:v>
                </c:pt>
                <c:pt idx="2485">
                  <c:v>6.6850596984731614E-3</c:v>
                </c:pt>
                <c:pt idx="2486">
                  <c:v>6.2567603032256313E-3</c:v>
                </c:pt>
                <c:pt idx="2487">
                  <c:v>7.0787566196245872E-3</c:v>
                </c:pt>
                <c:pt idx="2488">
                  <c:v>1.2433522743524215E-2</c:v>
                </c:pt>
                <c:pt idx="2489">
                  <c:v>1.8446670065452649E-2</c:v>
                </c:pt>
                <c:pt idx="2490">
                  <c:v>1.9646263370472209E-2</c:v>
                </c:pt>
                <c:pt idx="2491">
                  <c:v>1.1337375948389071E-2</c:v>
                </c:pt>
                <c:pt idx="2492">
                  <c:v>6.4437921097563024E-3</c:v>
                </c:pt>
                <c:pt idx="2493">
                  <c:v>8.0437482172830178E-3</c:v>
                </c:pt>
                <c:pt idx="2494">
                  <c:v>5.5678574216903188E-3</c:v>
                </c:pt>
                <c:pt idx="2495">
                  <c:v>5.1324456324683982E-3</c:v>
                </c:pt>
                <c:pt idx="2496">
                  <c:v>6.4878633941996998E-3</c:v>
                </c:pt>
                <c:pt idx="2497">
                  <c:v>0.12433986609562322</c:v>
                </c:pt>
                <c:pt idx="2498">
                  <c:v>0.19126345041751802</c:v>
                </c:pt>
                <c:pt idx="2499">
                  <c:v>0.19545434149507063</c:v>
                </c:pt>
                <c:pt idx="2500">
                  <c:v>0.20153476566327724</c:v>
                </c:pt>
                <c:pt idx="2501">
                  <c:v>0.21068602948403167</c:v>
                </c:pt>
                <c:pt idx="2502">
                  <c:v>0.2108742109497333</c:v>
                </c:pt>
                <c:pt idx="2503">
                  <c:v>0.19187504100270633</c:v>
                </c:pt>
                <c:pt idx="2504">
                  <c:v>0.18893382456630237</c:v>
                </c:pt>
                <c:pt idx="2505">
                  <c:v>0.18690070380561352</c:v>
                </c:pt>
                <c:pt idx="2506">
                  <c:v>0.16758285270808723</c:v>
                </c:pt>
                <c:pt idx="2507">
                  <c:v>0.18695492358248686</c:v>
                </c:pt>
                <c:pt idx="2508">
                  <c:v>0.12414738295557347</c:v>
                </c:pt>
                <c:pt idx="2509">
                  <c:v>0.15709757868924198</c:v>
                </c:pt>
                <c:pt idx="2510">
                  <c:v>0.15225959436012343</c:v>
                </c:pt>
                <c:pt idx="2511">
                  <c:v>0.17315974357687436</c:v>
                </c:pt>
                <c:pt idx="2512">
                  <c:v>0.14683257201274758</c:v>
                </c:pt>
                <c:pt idx="2513">
                  <c:v>0.12123276920052876</c:v>
                </c:pt>
                <c:pt idx="2514">
                  <c:v>0.11841156093674959</c:v>
                </c:pt>
                <c:pt idx="2515">
                  <c:v>6.5955218939450083E-2</c:v>
                </c:pt>
                <c:pt idx="2516">
                  <c:v>7.5287036843383864E-2</c:v>
                </c:pt>
                <c:pt idx="2517">
                  <c:v>7.5551340810603371E-2</c:v>
                </c:pt>
                <c:pt idx="2518">
                  <c:v>5.8766038049288795E-2</c:v>
                </c:pt>
                <c:pt idx="2519">
                  <c:v>5.6812649212374049E-2</c:v>
                </c:pt>
                <c:pt idx="2520">
                  <c:v>8.0248659559799096E-2</c:v>
                </c:pt>
                <c:pt idx="2521">
                  <c:v>6.7269536602073202E-2</c:v>
                </c:pt>
                <c:pt idx="2522">
                  <c:v>7.0039714665448186E-2</c:v>
                </c:pt>
                <c:pt idx="2523">
                  <c:v>5.5746331743767037E-2</c:v>
                </c:pt>
                <c:pt idx="2524">
                  <c:v>4.6314463364091257E-2</c:v>
                </c:pt>
                <c:pt idx="2525">
                  <c:v>7.533560198199761E-2</c:v>
                </c:pt>
                <c:pt idx="2526">
                  <c:v>6.9806797444600804E-2</c:v>
                </c:pt>
                <c:pt idx="2527">
                  <c:v>8.3847911473861711E-2</c:v>
                </c:pt>
                <c:pt idx="2528">
                  <c:v>0.13051066725144408</c:v>
                </c:pt>
                <c:pt idx="2529">
                  <c:v>0.14472361656676325</c:v>
                </c:pt>
                <c:pt idx="2530">
                  <c:v>0.16464516251256744</c:v>
                </c:pt>
                <c:pt idx="2531">
                  <c:v>0.133446930387802</c:v>
                </c:pt>
                <c:pt idx="2532">
                  <c:v>0.14272100535325974</c:v>
                </c:pt>
                <c:pt idx="2533">
                  <c:v>0.18947655754769283</c:v>
                </c:pt>
                <c:pt idx="2534">
                  <c:v>0.18195471882597372</c:v>
                </c:pt>
                <c:pt idx="2535">
                  <c:v>0.1938336452775164</c:v>
                </c:pt>
                <c:pt idx="2536">
                  <c:v>0.22835877532571416</c:v>
                </c:pt>
                <c:pt idx="2537">
                  <c:v>0.21360248263937917</c:v>
                </c:pt>
                <c:pt idx="2538">
                  <c:v>0.18136645917690475</c:v>
                </c:pt>
                <c:pt idx="2539">
                  <c:v>0.19692084093680293</c:v>
                </c:pt>
                <c:pt idx="2540">
                  <c:v>0.19474322274030068</c:v>
                </c:pt>
                <c:pt idx="2541">
                  <c:v>0.14478056520056823</c:v>
                </c:pt>
                <c:pt idx="2542">
                  <c:v>0.12597026288704014</c:v>
                </c:pt>
                <c:pt idx="2543">
                  <c:v>0.16412166630668384</c:v>
                </c:pt>
                <c:pt idx="2544">
                  <c:v>0.24749036677668809</c:v>
                </c:pt>
                <c:pt idx="2545">
                  <c:v>0.31641720801273154</c:v>
                </c:pt>
                <c:pt idx="2546">
                  <c:v>5.9180149112048608E-3</c:v>
                </c:pt>
                <c:pt idx="2547">
                  <c:v>6.864640021630849E-3</c:v>
                </c:pt>
                <c:pt idx="2548">
                  <c:v>5.3088078307388627E-3</c:v>
                </c:pt>
                <c:pt idx="2549">
                  <c:v>4.8250352125836816E-3</c:v>
                </c:pt>
                <c:pt idx="2550">
                  <c:v>8.013904458237844E-3</c:v>
                </c:pt>
                <c:pt idx="2551">
                  <c:v>7.1155005520597576E-3</c:v>
                </c:pt>
                <c:pt idx="2552">
                  <c:v>7.6283092568068247E-3</c:v>
                </c:pt>
                <c:pt idx="2553">
                  <c:v>7.2889241250677188E-3</c:v>
                </c:pt>
                <c:pt idx="2554">
                  <c:v>2.7211753471007093E-2</c:v>
                </c:pt>
                <c:pt idx="2555">
                  <c:v>7.8761702570958811E-3</c:v>
                </c:pt>
                <c:pt idx="2556">
                  <c:v>7.325223250637827E-3</c:v>
                </c:pt>
                <c:pt idx="2557">
                  <c:v>4.8907431526775177E-3</c:v>
                </c:pt>
                <c:pt idx="2558">
                  <c:v>4.2435377969083157E-3</c:v>
                </c:pt>
                <c:pt idx="2559">
                  <c:v>5.1096978477705186E-3</c:v>
                </c:pt>
                <c:pt idx="2560">
                  <c:v>5.3517075108152337E-3</c:v>
                </c:pt>
                <c:pt idx="2561">
                  <c:v>6.3569200752956216E-3</c:v>
                </c:pt>
                <c:pt idx="2562">
                  <c:v>1.0986481173326783E-2</c:v>
                </c:pt>
                <c:pt idx="2563">
                  <c:v>1.1976638194191393E-2</c:v>
                </c:pt>
                <c:pt idx="2564">
                  <c:v>9.3208429508062716E-3</c:v>
                </c:pt>
                <c:pt idx="2565">
                  <c:v>1.0130277215147886E-2</c:v>
                </c:pt>
                <c:pt idx="2566">
                  <c:v>8.4975469218009792E-3</c:v>
                </c:pt>
                <c:pt idx="2567">
                  <c:v>8.4132145878003245E-3</c:v>
                </c:pt>
                <c:pt idx="2568">
                  <c:v>8.9168357911652337E-3</c:v>
                </c:pt>
                <c:pt idx="2569">
                  <c:v>6.6422915316432674E-3</c:v>
                </c:pt>
                <c:pt idx="2570">
                  <c:v>7.009532860319463E-3</c:v>
                </c:pt>
                <c:pt idx="2571">
                  <c:v>1.40317875542621E-2</c:v>
                </c:pt>
                <c:pt idx="2572">
                  <c:v>7.8898177003007587E-3</c:v>
                </c:pt>
                <c:pt idx="2573">
                  <c:v>1.6011964762908577E-2</c:v>
                </c:pt>
                <c:pt idx="2574">
                  <c:v>8.0995931710800256E-3</c:v>
                </c:pt>
                <c:pt idx="2575">
                  <c:v>9.740612094569924E-3</c:v>
                </c:pt>
                <c:pt idx="2576">
                  <c:v>6.8697697970530273E-3</c:v>
                </c:pt>
                <c:pt idx="2577">
                  <c:v>8.0309582859523151E-3</c:v>
                </c:pt>
                <c:pt idx="2578">
                  <c:v>8.312249802955014E-3</c:v>
                </c:pt>
                <c:pt idx="2579">
                  <c:v>7.5403934067595517E-3</c:v>
                </c:pt>
                <c:pt idx="2580">
                  <c:v>5.7766144146416789E-3</c:v>
                </c:pt>
                <c:pt idx="2581">
                  <c:v>9.4360224453164526E-3</c:v>
                </c:pt>
                <c:pt idx="2582">
                  <c:v>8.511174852885741E-3</c:v>
                </c:pt>
                <c:pt idx="2583">
                  <c:v>6.1403062307322145E-3</c:v>
                </c:pt>
                <c:pt idx="2584">
                  <c:v>8.9649110776733199E-3</c:v>
                </c:pt>
                <c:pt idx="2585">
                  <c:v>1.0620046009873346E-2</c:v>
                </c:pt>
                <c:pt idx="2586">
                  <c:v>7.6236151708908096E-3</c:v>
                </c:pt>
                <c:pt idx="2587">
                  <c:v>8.0450271896998979E-3</c:v>
                </c:pt>
                <c:pt idx="2588">
                  <c:v>7.6632999349084529E-3</c:v>
                </c:pt>
                <c:pt idx="2589">
                  <c:v>6.2293621541747802E-3</c:v>
                </c:pt>
                <c:pt idx="2590">
                  <c:v>4.8276121818436072E-3</c:v>
                </c:pt>
                <c:pt idx="2591">
                  <c:v>5.3783031844780249E-3</c:v>
                </c:pt>
                <c:pt idx="2592">
                  <c:v>6.5220904325344678E-3</c:v>
                </c:pt>
                <c:pt idx="2593">
                  <c:v>0.18946280096028223</c:v>
                </c:pt>
                <c:pt idx="2594">
                  <c:v>0.11779412333833601</c:v>
                </c:pt>
                <c:pt idx="2595">
                  <c:v>8.4654908499695203E-2</c:v>
                </c:pt>
                <c:pt idx="2596">
                  <c:v>0.1045195456167744</c:v>
                </c:pt>
                <c:pt idx="2597">
                  <c:v>8.4240508236640768E-2</c:v>
                </c:pt>
                <c:pt idx="2598">
                  <c:v>8.9076690721241414E-2</c:v>
                </c:pt>
                <c:pt idx="2599">
                  <c:v>9.4081031820713909E-2</c:v>
                </c:pt>
                <c:pt idx="2600">
                  <c:v>9.8250779787208545E-2</c:v>
                </c:pt>
                <c:pt idx="2601">
                  <c:v>0.10737110371968749</c:v>
                </c:pt>
                <c:pt idx="2602">
                  <c:v>8.662530991231622E-2</c:v>
                </c:pt>
                <c:pt idx="2603">
                  <c:v>8.1863760623432563E-2</c:v>
                </c:pt>
                <c:pt idx="2604">
                  <c:v>0.10974420185769579</c:v>
                </c:pt>
                <c:pt idx="2605">
                  <c:v>0.10443452845140837</c:v>
                </c:pt>
                <c:pt idx="2606">
                  <c:v>0.10770200432715503</c:v>
                </c:pt>
                <c:pt idx="2607">
                  <c:v>9.288338691815641E-2</c:v>
                </c:pt>
                <c:pt idx="2608">
                  <c:v>7.0141715253935089E-2</c:v>
                </c:pt>
                <c:pt idx="2609">
                  <c:v>6.5421726781482128E-2</c:v>
                </c:pt>
                <c:pt idx="2610">
                  <c:v>5.1597012456785676E-2</c:v>
                </c:pt>
                <c:pt idx="2611">
                  <c:v>1.0556047006393654E-2</c:v>
                </c:pt>
                <c:pt idx="2612">
                  <c:v>1.657416430192038E-2</c:v>
                </c:pt>
                <c:pt idx="2613">
                  <c:v>6.2220842302862494E-3</c:v>
                </c:pt>
                <c:pt idx="2614">
                  <c:v>1.5240685388387914E-2</c:v>
                </c:pt>
                <c:pt idx="2615">
                  <c:v>1.2943044739233148E-2</c:v>
                </c:pt>
                <c:pt idx="2616">
                  <c:v>2.5438591596436414E-2</c:v>
                </c:pt>
                <c:pt idx="2617">
                  <c:v>5.5974410033652567E-3</c:v>
                </c:pt>
                <c:pt idx="2618">
                  <c:v>5.0066740948899388E-3</c:v>
                </c:pt>
                <c:pt idx="2619">
                  <c:v>5.3559972457619546E-3</c:v>
                </c:pt>
                <c:pt idx="2620">
                  <c:v>4.4017753180923521E-3</c:v>
                </c:pt>
                <c:pt idx="2621">
                  <c:v>2.3569317241029539E-2</c:v>
                </c:pt>
                <c:pt idx="2622">
                  <c:v>1.0426748725353605E-2</c:v>
                </c:pt>
                <c:pt idx="2623">
                  <c:v>3.7986159265825633E-3</c:v>
                </c:pt>
                <c:pt idx="2624">
                  <c:v>6.725257935432381E-3</c:v>
                </c:pt>
                <c:pt idx="2625">
                  <c:v>3.9058002940038136E-3</c:v>
                </c:pt>
                <c:pt idx="2626">
                  <c:v>4.1708496124271245E-3</c:v>
                </c:pt>
                <c:pt idx="2627">
                  <c:v>2.6890607667003409E-3</c:v>
                </c:pt>
                <c:pt idx="2628">
                  <c:v>2.8098957991268092E-3</c:v>
                </c:pt>
                <c:pt idx="2629">
                  <c:v>4.2508489527171055E-3</c:v>
                </c:pt>
                <c:pt idx="2630">
                  <c:v>6.3838822215107338E-3</c:v>
                </c:pt>
                <c:pt idx="2631">
                  <c:v>2.5772584212301651E-3</c:v>
                </c:pt>
                <c:pt idx="2632">
                  <c:v>2.9941045183218776E-3</c:v>
                </c:pt>
                <c:pt idx="2633">
                  <c:v>7.6667135086693145E-3</c:v>
                </c:pt>
                <c:pt idx="2634">
                  <c:v>4.2895530212135177E-3</c:v>
                </c:pt>
                <c:pt idx="2635">
                  <c:v>4.1231010484840671E-3</c:v>
                </c:pt>
                <c:pt idx="2636">
                  <c:v>3.0480150064669666E-3</c:v>
                </c:pt>
                <c:pt idx="2637">
                  <c:v>5.0113965513349243E-3</c:v>
                </c:pt>
                <c:pt idx="2638">
                  <c:v>3.1963421295012713E-3</c:v>
                </c:pt>
                <c:pt idx="2639">
                  <c:v>4.0534045319184225E-3</c:v>
                </c:pt>
                <c:pt idx="2640">
                  <c:v>3.1553847603011465E-3</c:v>
                </c:pt>
                <c:pt idx="2641">
                  <c:v>8.5081937795020435E-3</c:v>
                </c:pt>
                <c:pt idx="2642">
                  <c:v>6.4763111599107411E-3</c:v>
                </c:pt>
                <c:pt idx="2643">
                  <c:v>7.4951482178792347E-3</c:v>
                </c:pt>
                <c:pt idx="2644">
                  <c:v>9.7860485828955672E-3</c:v>
                </c:pt>
                <c:pt idx="2645">
                  <c:v>7.5130761207033853E-3</c:v>
                </c:pt>
                <c:pt idx="2646">
                  <c:v>1.083401392503246E-2</c:v>
                </c:pt>
                <c:pt idx="2647">
                  <c:v>6.9492735689231505E-3</c:v>
                </c:pt>
                <c:pt idx="2648">
                  <c:v>7.975957288759189E-3</c:v>
                </c:pt>
                <c:pt idx="2649">
                  <c:v>6.0940584513922771E-3</c:v>
                </c:pt>
                <c:pt idx="2650">
                  <c:v>5.338838051738402E-3</c:v>
                </c:pt>
                <c:pt idx="2651">
                  <c:v>7.9218022149322078E-3</c:v>
                </c:pt>
                <c:pt idx="2652">
                  <c:v>1.0041593340100814E-2</c:v>
                </c:pt>
                <c:pt idx="2653">
                  <c:v>1.1565369045934281E-2</c:v>
                </c:pt>
                <c:pt idx="2654">
                  <c:v>1.1041102246609442E-2</c:v>
                </c:pt>
                <c:pt idx="2655">
                  <c:v>1.083401392503246E-2</c:v>
                </c:pt>
                <c:pt idx="2656">
                  <c:v>6.7992300732111826E-3</c:v>
                </c:pt>
                <c:pt idx="2657">
                  <c:v>7.8040875835091884E-3</c:v>
                </c:pt>
                <c:pt idx="2658">
                  <c:v>7.8659343932437967E-3</c:v>
                </c:pt>
                <c:pt idx="2659">
                  <c:v>6.8526703100063669E-3</c:v>
                </c:pt>
                <c:pt idx="2660">
                  <c:v>6.698744622396547E-3</c:v>
                </c:pt>
                <c:pt idx="2661">
                  <c:v>1.1525193421533245E-2</c:v>
                </c:pt>
                <c:pt idx="2662">
                  <c:v>1.5020907094640417E-2</c:v>
                </c:pt>
                <c:pt idx="2663">
                  <c:v>8.2854071131789366E-3</c:v>
                </c:pt>
                <c:pt idx="2664">
                  <c:v>5.4700886442922833E-3</c:v>
                </c:pt>
                <c:pt idx="2665">
                  <c:v>7.2615910164210758E-3</c:v>
                </c:pt>
                <c:pt idx="2666">
                  <c:v>7.2363917828809129E-3</c:v>
                </c:pt>
                <c:pt idx="2667">
                  <c:v>8.9083263365586467E-3</c:v>
                </c:pt>
                <c:pt idx="2668">
                  <c:v>1.1289562586049956E-2</c:v>
                </c:pt>
                <c:pt idx="2669">
                  <c:v>1.8119803333377659E-2</c:v>
                </c:pt>
                <c:pt idx="2670">
                  <c:v>6.8586552070562263E-3</c:v>
                </c:pt>
                <c:pt idx="2671">
                  <c:v>7.8284008283020668E-3</c:v>
                </c:pt>
                <c:pt idx="2672">
                  <c:v>8.1575620153320691E-3</c:v>
                </c:pt>
                <c:pt idx="2673">
                  <c:v>8.0727373338876137E-3</c:v>
                </c:pt>
                <c:pt idx="2674">
                  <c:v>6.2974262439386948E-3</c:v>
                </c:pt>
                <c:pt idx="2675">
                  <c:v>5.2972241905384623E-3</c:v>
                </c:pt>
                <c:pt idx="2676">
                  <c:v>6.7188435726416619E-3</c:v>
                </c:pt>
                <c:pt idx="2677">
                  <c:v>5.9210138170932751E-3</c:v>
                </c:pt>
                <c:pt idx="2678">
                  <c:v>6.6499901125023344E-3</c:v>
                </c:pt>
                <c:pt idx="2679">
                  <c:v>6.1060490893130124E-3</c:v>
                </c:pt>
                <c:pt idx="2680">
                  <c:v>7.1231907491566358E-3</c:v>
                </c:pt>
                <c:pt idx="2681">
                  <c:v>6.9864558217064008E-3</c:v>
                </c:pt>
                <c:pt idx="2682">
                  <c:v>5.3877399675221318E-3</c:v>
                </c:pt>
                <c:pt idx="2683">
                  <c:v>8.233421313673989E-3</c:v>
                </c:pt>
                <c:pt idx="2684">
                  <c:v>6.4091309676789845E-3</c:v>
                </c:pt>
                <c:pt idx="2685">
                  <c:v>6.7757142856288075E-3</c:v>
                </c:pt>
                <c:pt idx="2686">
                  <c:v>6.2670341635187683E-3</c:v>
                </c:pt>
                <c:pt idx="2687">
                  <c:v>7.7136474272693047E-3</c:v>
                </c:pt>
                <c:pt idx="2688">
                  <c:v>7.9917334810085065E-3</c:v>
                </c:pt>
                <c:pt idx="2689">
                  <c:v>1.0092514525275431E-2</c:v>
                </c:pt>
                <c:pt idx="2690">
                  <c:v>2.4213777767196965E-3</c:v>
                </c:pt>
                <c:pt idx="2691">
                  <c:v>4.2426776528389568E-3</c:v>
                </c:pt>
                <c:pt idx="2692">
                  <c:v>5.2723397705352329E-3</c:v>
                </c:pt>
                <c:pt idx="2693">
                  <c:v>3.878253424075751E-3</c:v>
                </c:pt>
                <c:pt idx="2694">
                  <c:v>2.9414814279952444E-3</c:v>
                </c:pt>
                <c:pt idx="2695">
                  <c:v>2.813347734660764E-3</c:v>
                </c:pt>
                <c:pt idx="2696">
                  <c:v>7.1748824288748606E-3</c:v>
                </c:pt>
                <c:pt idx="2697">
                  <c:v>2.6489188347938648E-3</c:v>
                </c:pt>
                <c:pt idx="2698">
                  <c:v>2.7762379897077628E-3</c:v>
                </c:pt>
                <c:pt idx="2699">
                  <c:v>2.5349473243747494E-3</c:v>
                </c:pt>
                <c:pt idx="2700">
                  <c:v>5.8674588091919772E-3</c:v>
                </c:pt>
                <c:pt idx="2701">
                  <c:v>3.5402316205906713E-3</c:v>
                </c:pt>
                <c:pt idx="2702">
                  <c:v>2.4153314168465028E-3</c:v>
                </c:pt>
                <c:pt idx="2703">
                  <c:v>2.3345612516971312E-3</c:v>
                </c:pt>
                <c:pt idx="2704">
                  <c:v>3.0092001295781573E-3</c:v>
                </c:pt>
                <c:pt idx="2705">
                  <c:v>3.8072260898350677E-3</c:v>
                </c:pt>
                <c:pt idx="2706">
                  <c:v>4.5642527681447843E-3</c:v>
                </c:pt>
                <c:pt idx="2707">
                  <c:v>2.452903860873973E-3</c:v>
                </c:pt>
                <c:pt idx="2708">
                  <c:v>6.7342378841830303E-3</c:v>
                </c:pt>
                <c:pt idx="2709">
                  <c:v>5.5811488453734728E-3</c:v>
                </c:pt>
                <c:pt idx="2710">
                  <c:v>4.4911884204113378E-3</c:v>
                </c:pt>
                <c:pt idx="2711">
                  <c:v>6.6542670429006363E-3</c:v>
                </c:pt>
                <c:pt idx="2712">
                  <c:v>5.8576039683226585E-3</c:v>
                </c:pt>
                <c:pt idx="2713">
                  <c:v>3.9987580823519801E-3</c:v>
                </c:pt>
                <c:pt idx="2714">
                  <c:v>6.0906324940366886E-3</c:v>
                </c:pt>
                <c:pt idx="2715">
                  <c:v>7.1996580775820565E-3</c:v>
                </c:pt>
                <c:pt idx="2716">
                  <c:v>3.7219779524264359E-3</c:v>
                </c:pt>
                <c:pt idx="2717">
                  <c:v>3.5074919698846138E-3</c:v>
                </c:pt>
                <c:pt idx="2718">
                  <c:v>7.1556589690518766E-3</c:v>
                </c:pt>
                <c:pt idx="2719">
                  <c:v>8.0134781039647805E-3</c:v>
                </c:pt>
                <c:pt idx="2720">
                  <c:v>7.7115141773649318E-3</c:v>
                </c:pt>
                <c:pt idx="2721">
                  <c:v>7.2679973681062868E-3</c:v>
                </c:pt>
                <c:pt idx="2722">
                  <c:v>7.9431239161138964E-3</c:v>
                </c:pt>
                <c:pt idx="2723">
                  <c:v>3.2291052440162828E-3</c:v>
                </c:pt>
                <c:pt idx="2724">
                  <c:v>6.3372323714999349E-3</c:v>
                </c:pt>
                <c:pt idx="2725">
                  <c:v>6.0786414304585881E-3</c:v>
                </c:pt>
                <c:pt idx="2726">
                  <c:v>7.2398087137952143E-3</c:v>
                </c:pt>
                <c:pt idx="2727">
                  <c:v>4.6532027631909032E-3</c:v>
                </c:pt>
                <c:pt idx="2728">
                  <c:v>7.3619463373068086E-3</c:v>
                </c:pt>
                <c:pt idx="2729">
                  <c:v>8.5746242762839847E-3</c:v>
                </c:pt>
                <c:pt idx="2730">
                  <c:v>1.1342453164421874E-2</c:v>
                </c:pt>
                <c:pt idx="2731">
                  <c:v>1.7838873606268462E-3</c:v>
                </c:pt>
                <c:pt idx="2732">
                  <c:v>5.9300104105115079E-3</c:v>
                </c:pt>
                <c:pt idx="2733">
                  <c:v>4.4185416770460744E-3</c:v>
                </c:pt>
                <c:pt idx="2734">
                  <c:v>9.1180358078299193E-3</c:v>
                </c:pt>
                <c:pt idx="2735">
                  <c:v>5.9754189424853933E-3</c:v>
                </c:pt>
                <c:pt idx="2736">
                  <c:v>8.5601467006374728E-3</c:v>
                </c:pt>
                <c:pt idx="2737">
                  <c:v>7.5122224278265613E-3</c:v>
                </c:pt>
                <c:pt idx="2738">
                  <c:v>7.0172249340338874E-3</c:v>
                </c:pt>
                <c:pt idx="2739">
                  <c:v>6.0593693846345614E-3</c:v>
                </c:pt>
                <c:pt idx="2740">
                  <c:v>8.7351227051984878E-3</c:v>
                </c:pt>
                <c:pt idx="2741">
                  <c:v>8.7023466787288801E-3</c:v>
                </c:pt>
                <c:pt idx="2742">
                  <c:v>7.7998219616181126E-3</c:v>
                </c:pt>
                <c:pt idx="2743">
                  <c:v>6.0765001342656519E-3</c:v>
                </c:pt>
                <c:pt idx="2744">
                  <c:v>7.6116663596123594E-3</c:v>
                </c:pt>
                <c:pt idx="2745">
                  <c:v>5.1169944368107219E-3</c:v>
                </c:pt>
                <c:pt idx="2746">
                  <c:v>6.2798761471154719E-3</c:v>
                </c:pt>
                <c:pt idx="2747">
                  <c:v>6.3500722795509085E-3</c:v>
                </c:pt>
                <c:pt idx="2748">
                  <c:v>6.756473148652172E-3</c:v>
                </c:pt>
                <c:pt idx="2749">
                  <c:v>7.1988037683962652E-3</c:v>
                </c:pt>
                <c:pt idx="2750">
                  <c:v>7.0616653592035844E-3</c:v>
                </c:pt>
                <c:pt idx="2751">
                  <c:v>6.853097805388033E-3</c:v>
                </c:pt>
                <c:pt idx="2752">
                  <c:v>4.8885959915004103E-3</c:v>
                </c:pt>
                <c:pt idx="2753">
                  <c:v>0.16230596325297314</c:v>
                </c:pt>
                <c:pt idx="2754">
                  <c:v>7.8804351291668455E-3</c:v>
                </c:pt>
                <c:pt idx="2755">
                  <c:v>7.2748307057442108E-3</c:v>
                </c:pt>
                <c:pt idx="2756">
                  <c:v>7.4443484738334099E-3</c:v>
                </c:pt>
                <c:pt idx="2757">
                  <c:v>8.478807818280391E-3</c:v>
                </c:pt>
                <c:pt idx="2758">
                  <c:v>9.2455985208485178E-3</c:v>
                </c:pt>
                <c:pt idx="2759">
                  <c:v>1.1174873687262899E-2</c:v>
                </c:pt>
                <c:pt idx="2760">
                  <c:v>1.0015281721622233E-2</c:v>
                </c:pt>
                <c:pt idx="2761">
                  <c:v>8.1383820042824767E-3</c:v>
                </c:pt>
                <c:pt idx="2762">
                  <c:v>8.0190206768677216E-3</c:v>
                </c:pt>
                <c:pt idx="2763">
                  <c:v>1.0210883207946967E-2</c:v>
                </c:pt>
                <c:pt idx="2764">
                  <c:v>6.9467091582821527E-3</c:v>
                </c:pt>
                <c:pt idx="2765">
                  <c:v>7.2043567480645585E-3</c:v>
                </c:pt>
                <c:pt idx="2766">
                  <c:v>6.7149949094927105E-3</c:v>
                </c:pt>
                <c:pt idx="2767">
                  <c:v>7.326077311177813E-3</c:v>
                </c:pt>
                <c:pt idx="2768">
                  <c:v>9.5430992222316074E-3</c:v>
                </c:pt>
                <c:pt idx="2769">
                  <c:v>1.0745049971758446E-2</c:v>
                </c:pt>
                <c:pt idx="2770">
                  <c:v>1.0017403685433114E-2</c:v>
                </c:pt>
                <c:pt idx="2771">
                  <c:v>8.0330899673313871E-3</c:v>
                </c:pt>
                <c:pt idx="2772">
                  <c:v>6.5460477544838115E-3</c:v>
                </c:pt>
                <c:pt idx="2773">
                  <c:v>1.1747170140698837E-2</c:v>
                </c:pt>
                <c:pt idx="2774">
                  <c:v>7.2060653429090694E-3</c:v>
                </c:pt>
                <c:pt idx="2775">
                  <c:v>7.8015282154021946E-3</c:v>
                </c:pt>
                <c:pt idx="2776">
                  <c:v>7.4072054046837423E-3</c:v>
                </c:pt>
                <c:pt idx="2777">
                  <c:v>1.0421236795641305E-2</c:v>
                </c:pt>
                <c:pt idx="2778">
                  <c:v>9.9456755608570164E-3</c:v>
                </c:pt>
                <c:pt idx="2779">
                  <c:v>8.1452016608128969E-3</c:v>
                </c:pt>
                <c:pt idx="2780">
                  <c:v>4.666951861342126E-3</c:v>
                </c:pt>
                <c:pt idx="2781">
                  <c:v>6.3008505703845679E-3</c:v>
                </c:pt>
                <c:pt idx="2782">
                  <c:v>7.0612380690750522E-3</c:v>
                </c:pt>
                <c:pt idx="2783">
                  <c:v>7.8501536304687088E-3</c:v>
                </c:pt>
                <c:pt idx="2784">
                  <c:v>5.6497432747189191E-3</c:v>
                </c:pt>
                <c:pt idx="2785">
                  <c:v>1.0468297944231321E-2</c:v>
                </c:pt>
                <c:pt idx="2786">
                  <c:v>8.0586693277918432E-3</c:v>
                </c:pt>
                <c:pt idx="2787">
                  <c:v>1.161061503609701E-2</c:v>
                </c:pt>
                <c:pt idx="2788">
                  <c:v>4.1037420269238317E-3</c:v>
                </c:pt>
                <c:pt idx="2789">
                  <c:v>9.2923621293416435E-3</c:v>
                </c:pt>
                <c:pt idx="2790">
                  <c:v>4.8778600263779236E-3</c:v>
                </c:pt>
                <c:pt idx="2791">
                  <c:v>3.9768115099275197E-3</c:v>
                </c:pt>
                <c:pt idx="2792">
                  <c:v>9.7520778250948636E-3</c:v>
                </c:pt>
                <c:pt idx="2793">
                  <c:v>4.9650283922189273E-3</c:v>
                </c:pt>
                <c:pt idx="2794">
                  <c:v>4.8555283687635644E-3</c:v>
                </c:pt>
                <c:pt idx="2795">
                  <c:v>2.3643658956690331E-3</c:v>
                </c:pt>
                <c:pt idx="2796">
                  <c:v>6.6718020171911479E-3</c:v>
                </c:pt>
                <c:pt idx="2797">
                  <c:v>2.8016973422685331E-3</c:v>
                </c:pt>
                <c:pt idx="2798">
                  <c:v>7.7917171645977461E-3</c:v>
                </c:pt>
                <c:pt idx="2799">
                  <c:v>5.8948797982778496E-3</c:v>
                </c:pt>
                <c:pt idx="2800">
                  <c:v>2.684744607962372E-3</c:v>
                </c:pt>
                <c:pt idx="2801">
                  <c:v>5.0049568252689891E-3</c:v>
                </c:pt>
                <c:pt idx="2802">
                  <c:v>6.0075447529469835E-3</c:v>
                </c:pt>
                <c:pt idx="2803">
                  <c:v>4.2689112805938323E-3</c:v>
                </c:pt>
                <c:pt idx="2804">
                  <c:v>3.2006532068367044E-3</c:v>
                </c:pt>
                <c:pt idx="2805">
                  <c:v>9.5758118612170734E-3</c:v>
                </c:pt>
                <c:pt idx="2806">
                  <c:v>3.8851403053661304E-3</c:v>
                </c:pt>
                <c:pt idx="2807">
                  <c:v>2.5763949706606721E-3</c:v>
                </c:pt>
                <c:pt idx="2808">
                  <c:v>4.5874588711303163E-3</c:v>
                </c:pt>
                <c:pt idx="2809">
                  <c:v>2.2667372650050717E-3</c:v>
                </c:pt>
                <c:pt idx="2810">
                  <c:v>3.6866682676504831E-3</c:v>
                </c:pt>
                <c:pt idx="2811">
                  <c:v>4.3953265461378482E-3</c:v>
                </c:pt>
                <c:pt idx="2812">
                  <c:v>3.6418811229694498E-3</c:v>
                </c:pt>
                <c:pt idx="2813">
                  <c:v>8.495417518939086E-3</c:v>
                </c:pt>
                <c:pt idx="2814">
                  <c:v>3.3441876478820139E-3</c:v>
                </c:pt>
                <c:pt idx="2815">
                  <c:v>1.0113729923756217E-2</c:v>
                </c:pt>
                <c:pt idx="2816">
                  <c:v>3.546693102131761E-3</c:v>
                </c:pt>
                <c:pt idx="2817">
                  <c:v>3.2459169353323092E-3</c:v>
                </c:pt>
                <c:pt idx="2818">
                  <c:v>8.8083277536589993E-3</c:v>
                </c:pt>
                <c:pt idx="2819">
                  <c:v>7.1710378049816472E-3</c:v>
                </c:pt>
                <c:pt idx="2820">
                  <c:v>7.0407276485037126E-3</c:v>
                </c:pt>
                <c:pt idx="2821">
                  <c:v>6.5498979151058442E-3</c:v>
                </c:pt>
                <c:pt idx="2822">
                  <c:v>3.5251544564605603E-3</c:v>
                </c:pt>
                <c:pt idx="2823">
                  <c:v>7.7610028769230658E-3</c:v>
                </c:pt>
                <c:pt idx="2824">
                  <c:v>2.7758064623947896E-3</c:v>
                </c:pt>
                <c:pt idx="2825">
                  <c:v>5.4486451800158566E-3</c:v>
                </c:pt>
                <c:pt idx="2826">
                  <c:v>8.218080052577308E-3</c:v>
                </c:pt>
                <c:pt idx="2827">
                  <c:v>5.4400674978381247E-3</c:v>
                </c:pt>
                <c:pt idx="2828">
                  <c:v>8.210409218802903E-3</c:v>
                </c:pt>
                <c:pt idx="2829">
                  <c:v>5.7954704743752479E-3</c:v>
                </c:pt>
                <c:pt idx="2830">
                  <c:v>3.5574620244056988E-3</c:v>
                </c:pt>
                <c:pt idx="2831">
                  <c:v>6.8556627688408315E-3</c:v>
                </c:pt>
                <c:pt idx="2832">
                  <c:v>8.2078522441027257E-3</c:v>
                </c:pt>
                <c:pt idx="2833">
                  <c:v>1.044794780308626E-2</c:v>
                </c:pt>
                <c:pt idx="2834">
                  <c:v>9.1665140526382242E-3</c:v>
                </c:pt>
                <c:pt idx="2835">
                  <c:v>1.2067884607064634E-2</c:v>
                </c:pt>
                <c:pt idx="2836">
                  <c:v>8.8308826365060319E-3</c:v>
                </c:pt>
                <c:pt idx="2837">
                  <c:v>6.7825553733474216E-3</c:v>
                </c:pt>
                <c:pt idx="2838">
                  <c:v>7.5506369460560134E-3</c:v>
                </c:pt>
                <c:pt idx="2839">
                  <c:v>6.3273881849062802E-3</c:v>
                </c:pt>
                <c:pt idx="2840">
                  <c:v>6.865067505230269E-3</c:v>
                </c:pt>
                <c:pt idx="2841">
                  <c:v>7.8591103499795877E-3</c:v>
                </c:pt>
                <c:pt idx="2842">
                  <c:v>8.0365006357747907E-3</c:v>
                </c:pt>
                <c:pt idx="2843">
                  <c:v>6.0902042474669064E-3</c:v>
                </c:pt>
                <c:pt idx="2844">
                  <c:v>5.1817999361069463E-3</c:v>
                </c:pt>
                <c:pt idx="2845">
                  <c:v>5.4319185428443485E-3</c:v>
                </c:pt>
                <c:pt idx="2846">
                  <c:v>5.2997983595057937E-3</c:v>
                </c:pt>
                <c:pt idx="2847">
                  <c:v>5.1942449185070341E-3</c:v>
                </c:pt>
                <c:pt idx="2848">
                  <c:v>6.5486145320243754E-3</c:v>
                </c:pt>
                <c:pt idx="2849">
                  <c:v>6.2280778235273516E-3</c:v>
                </c:pt>
                <c:pt idx="2850">
                  <c:v>5.7131834775638489E-3</c:v>
                </c:pt>
                <c:pt idx="2851">
                  <c:v>0.14619100381303457</c:v>
                </c:pt>
                <c:pt idx="2852">
                  <c:v>5.0006636215087557E-3</c:v>
                </c:pt>
                <c:pt idx="2853">
                  <c:v>6.930040120012605E-3</c:v>
                </c:pt>
                <c:pt idx="2854">
                  <c:v>7.1689018881123728E-3</c:v>
                </c:pt>
                <c:pt idx="2855">
                  <c:v>4.8898842894805287E-3</c:v>
                </c:pt>
                <c:pt idx="2856">
                  <c:v>4.43100855000948E-3</c:v>
                </c:pt>
                <c:pt idx="2857">
                  <c:v>5.5618547099145583E-3</c:v>
                </c:pt>
                <c:pt idx="2858">
                  <c:v>5.0294272763379139E-3</c:v>
                </c:pt>
                <c:pt idx="2859">
                  <c:v>7.6688469786448136E-3</c:v>
                </c:pt>
                <c:pt idx="2860">
                  <c:v>6.9800453155768934E-3</c:v>
                </c:pt>
                <c:pt idx="2861">
                  <c:v>6.1047643939420269E-3</c:v>
                </c:pt>
                <c:pt idx="2862">
                  <c:v>7.4682549759292668E-3</c:v>
                </c:pt>
                <c:pt idx="2863">
                  <c:v>7.2393815989011583E-3</c:v>
                </c:pt>
                <c:pt idx="2864">
                  <c:v>6.9039667515033397E-3</c:v>
                </c:pt>
                <c:pt idx="2865">
                  <c:v>5.657459470085527E-3</c:v>
                </c:pt>
                <c:pt idx="2866">
                  <c:v>7.6189210342380662E-3</c:v>
                </c:pt>
                <c:pt idx="2867">
                  <c:v>6.8535253003488023E-3</c:v>
                </c:pt>
                <c:pt idx="2868">
                  <c:v>1.0165491146995751E-2</c:v>
                </c:pt>
                <c:pt idx="2869">
                  <c:v>6.8962726715197818E-3</c:v>
                </c:pt>
                <c:pt idx="2870">
                  <c:v>7.6931677956221193E-3</c:v>
                </c:pt>
                <c:pt idx="2871">
                  <c:v>7.8727583292838108E-3</c:v>
                </c:pt>
                <c:pt idx="2872">
                  <c:v>5.9946947139318035E-3</c:v>
                </c:pt>
                <c:pt idx="2873">
                  <c:v>6.6050798001894388E-3</c:v>
                </c:pt>
                <c:pt idx="2874">
                  <c:v>6.8077809530083713E-3</c:v>
                </c:pt>
                <c:pt idx="2875">
                  <c:v>6.6602546746990666E-3</c:v>
                </c:pt>
                <c:pt idx="2876">
                  <c:v>8.7189478324512862E-3</c:v>
                </c:pt>
                <c:pt idx="2877">
                  <c:v>8.0262685500879644E-3</c:v>
                </c:pt>
                <c:pt idx="2878">
                  <c:v>1.0792499681370431E-2</c:v>
                </c:pt>
                <c:pt idx="2879">
                  <c:v>1.4524550083145616E-3</c:v>
                </c:pt>
                <c:pt idx="2880">
                  <c:v>7.0629472270666042E-3</c:v>
                </c:pt>
                <c:pt idx="2881">
                  <c:v>4.7086261558380556E-3</c:v>
                </c:pt>
                <c:pt idx="2882">
                  <c:v>7.7738007607693026E-3</c:v>
                </c:pt>
                <c:pt idx="2883">
                  <c:v>2.5150855919654005E-3</c:v>
                </c:pt>
                <c:pt idx="2884">
                  <c:v>5.4379230508221094E-3</c:v>
                </c:pt>
                <c:pt idx="2885">
                  <c:v>5.736328271323774E-3</c:v>
                </c:pt>
                <c:pt idx="2886">
                  <c:v>5.8524622234430524E-3</c:v>
                </c:pt>
                <c:pt idx="2887">
                  <c:v>7.0539740725693058E-3</c:v>
                </c:pt>
                <c:pt idx="2888">
                  <c:v>4.5350285040890092E-3</c:v>
                </c:pt>
                <c:pt idx="2889">
                  <c:v>4.6033586332430848E-3</c:v>
                </c:pt>
                <c:pt idx="2890">
                  <c:v>3.4730265130850963E-3</c:v>
                </c:pt>
                <c:pt idx="2891">
                  <c:v>4.006503666661357E-3</c:v>
                </c:pt>
                <c:pt idx="2892">
                  <c:v>7.9316103274872461E-3</c:v>
                </c:pt>
                <c:pt idx="2893">
                  <c:v>3.4807814793407351E-3</c:v>
                </c:pt>
                <c:pt idx="2894">
                  <c:v>3.6013964602069379E-3</c:v>
                </c:pt>
                <c:pt idx="2895">
                  <c:v>4.9444187323213033E-3</c:v>
                </c:pt>
                <c:pt idx="2896">
                  <c:v>4.9259550814308457E-3</c:v>
                </c:pt>
                <c:pt idx="2897">
                  <c:v>2.638990687938382E-3</c:v>
                </c:pt>
                <c:pt idx="2898">
                  <c:v>2.0091688463498517E-3</c:v>
                </c:pt>
                <c:pt idx="2899">
                  <c:v>3.8102396066456161E-3</c:v>
                </c:pt>
                <c:pt idx="2900">
                  <c:v>3.7757981683716512E-3</c:v>
                </c:pt>
                <c:pt idx="2901">
                  <c:v>4.1446100603938097E-3</c:v>
                </c:pt>
                <c:pt idx="2902">
                  <c:v>2.1738400954822061E-3</c:v>
                </c:pt>
                <c:pt idx="2903">
                  <c:v>3.293762033542686E-3</c:v>
                </c:pt>
                <c:pt idx="2904">
                  <c:v>3.6543703104049245E-3</c:v>
                </c:pt>
                <c:pt idx="2905">
                  <c:v>3.8584530320125345E-3</c:v>
                </c:pt>
                <c:pt idx="2906">
                  <c:v>1.423020588071381E-3</c:v>
                </c:pt>
                <c:pt idx="2907">
                  <c:v>4.6776930414159671E-3</c:v>
                </c:pt>
                <c:pt idx="2908">
                  <c:v>2.2913624848857755E-3</c:v>
                </c:pt>
                <c:pt idx="2909">
                  <c:v>1.2944380394200919E-3</c:v>
                </c:pt>
                <c:pt idx="2910">
                  <c:v>1.6290196486399868E-3</c:v>
                </c:pt>
                <c:pt idx="2911">
                  <c:v>3.3390160594481233E-3</c:v>
                </c:pt>
                <c:pt idx="2912">
                  <c:v>2.2122976132133414E-3</c:v>
                </c:pt>
                <c:pt idx="2913">
                  <c:v>8.9285960603051101E-4</c:v>
                </c:pt>
                <c:pt idx="2914">
                  <c:v>3.447175625413617E-3</c:v>
                </c:pt>
                <c:pt idx="2915">
                  <c:v>4.1725701834037241E-3</c:v>
                </c:pt>
                <c:pt idx="2916">
                  <c:v>2.8211144892960963E-3</c:v>
                </c:pt>
                <c:pt idx="2917">
                  <c:v>1.7510150333371432E-3</c:v>
                </c:pt>
                <c:pt idx="2918">
                  <c:v>6.4758832934801933E-3</c:v>
                </c:pt>
                <c:pt idx="2919">
                  <c:v>2.4693137935410023E-3</c:v>
                </c:pt>
                <c:pt idx="2920">
                  <c:v>3.1342578703563791E-3</c:v>
                </c:pt>
                <c:pt idx="2921">
                  <c:v>3.0342145587907961E-3</c:v>
                </c:pt>
                <c:pt idx="2922">
                  <c:v>2.6035928389802295E-3</c:v>
                </c:pt>
                <c:pt idx="2923">
                  <c:v>2.5651699570365069E-3</c:v>
                </c:pt>
                <c:pt idx="2924">
                  <c:v>1.9728549721009093E-3</c:v>
                </c:pt>
                <c:pt idx="2925">
                  <c:v>5.6681761806656253E-3</c:v>
                </c:pt>
                <c:pt idx="2926">
                  <c:v>1.6744474665811512E-3</c:v>
                </c:pt>
                <c:pt idx="2927">
                  <c:v>4.3385732235233709E-3</c:v>
                </c:pt>
                <c:pt idx="2928">
                  <c:v>8.4775301226867744E-3</c:v>
                </c:pt>
                <c:pt idx="2929">
                  <c:v>8.3557058786789731E-3</c:v>
                </c:pt>
                <c:pt idx="2930">
                  <c:v>7.9601805234026969E-3</c:v>
                </c:pt>
                <c:pt idx="2931">
                  <c:v>5.7110403787115687E-3</c:v>
                </c:pt>
                <c:pt idx="2932">
                  <c:v>5.3731557618439786E-3</c:v>
                </c:pt>
                <c:pt idx="2933">
                  <c:v>7.6372705526708213E-3</c:v>
                </c:pt>
                <c:pt idx="2934">
                  <c:v>6.2041029542501645E-3</c:v>
                </c:pt>
                <c:pt idx="2935">
                  <c:v>7.2628722943182348E-3</c:v>
                </c:pt>
                <c:pt idx="2936">
                  <c:v>4.8606819301346546E-3</c:v>
                </c:pt>
                <c:pt idx="2937">
                  <c:v>9.0236152722907425E-3</c:v>
                </c:pt>
                <c:pt idx="2938">
                  <c:v>6.8881509947655815E-3</c:v>
                </c:pt>
                <c:pt idx="2939">
                  <c:v>7.5207592810808497E-3</c:v>
                </c:pt>
                <c:pt idx="2940">
                  <c:v>7.4234292049338707E-3</c:v>
                </c:pt>
                <c:pt idx="2941">
                  <c:v>6.205815488805483E-3</c:v>
                </c:pt>
                <c:pt idx="2942">
                  <c:v>8.8410957830579728E-3</c:v>
                </c:pt>
                <c:pt idx="2943">
                  <c:v>6.6551224239260543E-3</c:v>
                </c:pt>
                <c:pt idx="2944">
                  <c:v>6.5075442708362446E-3</c:v>
                </c:pt>
                <c:pt idx="2945">
                  <c:v>6.815049068465872E-3</c:v>
                </c:pt>
                <c:pt idx="2946">
                  <c:v>5.9767040205322159E-3</c:v>
                </c:pt>
                <c:pt idx="2947">
                  <c:v>6.2657499442734695E-3</c:v>
                </c:pt>
                <c:pt idx="2948">
                  <c:v>7.1398523757324932E-3</c:v>
                </c:pt>
                <c:pt idx="2949">
                  <c:v>1.4903003057822588E-2</c:v>
                </c:pt>
                <c:pt idx="2950">
                  <c:v>8.9219413838988668E-3</c:v>
                </c:pt>
                <c:pt idx="2951">
                  <c:v>8.1575620153320691E-3</c:v>
                </c:pt>
                <c:pt idx="2952">
                  <c:v>6.0315304752139951E-3</c:v>
                </c:pt>
                <c:pt idx="2953">
                  <c:v>7.0757656976046367E-3</c:v>
                </c:pt>
                <c:pt idx="2954">
                  <c:v>6.4185453786744255E-3</c:v>
                </c:pt>
                <c:pt idx="2955">
                  <c:v>5.3568551876667482E-3</c:v>
                </c:pt>
                <c:pt idx="2956">
                  <c:v>5.6651755283594115E-3</c:v>
                </c:pt>
                <c:pt idx="2957">
                  <c:v>7.6223349568354942E-3</c:v>
                </c:pt>
                <c:pt idx="2958">
                  <c:v>5.5691437062765749E-3</c:v>
                </c:pt>
                <c:pt idx="2959">
                  <c:v>5.3426989295044854E-3</c:v>
                </c:pt>
                <c:pt idx="2960">
                  <c:v>3.0609525278988466E-3</c:v>
                </c:pt>
                <c:pt idx="2961">
                  <c:v>4.1420290352097225E-3</c:v>
                </c:pt>
                <c:pt idx="2962">
                  <c:v>4.1489117349471447E-3</c:v>
                </c:pt>
                <c:pt idx="2963">
                  <c:v>3.8769621216756265E-3</c:v>
                </c:pt>
                <c:pt idx="2964">
                  <c:v>2.1219818706705532E-3</c:v>
                </c:pt>
                <c:pt idx="2965">
                  <c:v>5.3933161520305509E-3</c:v>
                </c:pt>
                <c:pt idx="2966">
                  <c:v>3.1057996185360798E-3</c:v>
                </c:pt>
                <c:pt idx="2967">
                  <c:v>5.6098740811763416E-3</c:v>
                </c:pt>
                <c:pt idx="2968">
                  <c:v>7.6816475784091424E-3</c:v>
                </c:pt>
                <c:pt idx="2969">
                  <c:v>4.4331579746953002E-3</c:v>
                </c:pt>
                <c:pt idx="2970">
                  <c:v>1.003989586443167E-2</c:v>
                </c:pt>
                <c:pt idx="2971">
                  <c:v>1.4073413767540489E-2</c:v>
                </c:pt>
                <c:pt idx="2972">
                  <c:v>6.9039667515033397E-3</c:v>
                </c:pt>
                <c:pt idx="2973">
                  <c:v>3.874379505356902E-3</c:v>
                </c:pt>
                <c:pt idx="2974">
                  <c:v>4.0482413820133257E-3</c:v>
                </c:pt>
                <c:pt idx="2975">
                  <c:v>5.0517499939958894E-3</c:v>
                </c:pt>
                <c:pt idx="2976">
                  <c:v>3.6069956278085677E-3</c:v>
                </c:pt>
                <c:pt idx="2977">
                  <c:v>1.4684699577895246E-3</c:v>
                </c:pt>
                <c:pt idx="2978">
                  <c:v>1.5502668392690102E-3</c:v>
                </c:pt>
                <c:pt idx="2979">
                  <c:v>3.3532377794588627E-3</c:v>
                </c:pt>
                <c:pt idx="2980">
                  <c:v>1.708623359248055E-3</c:v>
                </c:pt>
                <c:pt idx="2981">
                  <c:v>8.9242620327481331E-4</c:v>
                </c:pt>
                <c:pt idx="2982">
                  <c:v>1.0986770348875494E-3</c:v>
                </c:pt>
                <c:pt idx="2983">
                  <c:v>2.0523956903581598E-3</c:v>
                </c:pt>
                <c:pt idx="2984">
                  <c:v>3.1502109230960688E-3</c:v>
                </c:pt>
                <c:pt idx="2985">
                  <c:v>2.4636999389847885E-3</c:v>
                </c:pt>
                <c:pt idx="2986">
                  <c:v>1.1199031786424732E-3</c:v>
                </c:pt>
                <c:pt idx="2987">
                  <c:v>1.9979291621195824E-3</c:v>
                </c:pt>
                <c:pt idx="2988">
                  <c:v>3.5346315921583665E-3</c:v>
                </c:pt>
                <c:pt idx="2989">
                  <c:v>1.6619012108701602E-3</c:v>
                </c:pt>
                <c:pt idx="2990">
                  <c:v>1.0059629398019871E-3</c:v>
                </c:pt>
                <c:pt idx="2991">
                  <c:v>3.1540913067783544E-3</c:v>
                </c:pt>
                <c:pt idx="2992">
                  <c:v>1.0115956691547166E-3</c:v>
                </c:pt>
                <c:pt idx="2993">
                  <c:v>1.2970360434753805E-3</c:v>
                </c:pt>
                <c:pt idx="2994">
                  <c:v>2.3760280256746695E-3</c:v>
                </c:pt>
                <c:pt idx="2995">
                  <c:v>2.0100334253960674E-3</c:v>
                </c:pt>
                <c:pt idx="2996">
                  <c:v>2.0644984357090397E-3</c:v>
                </c:pt>
                <c:pt idx="2997">
                  <c:v>1.5532960575554318E-3</c:v>
                </c:pt>
                <c:pt idx="2998">
                  <c:v>2.5349473243747494E-3</c:v>
                </c:pt>
                <c:pt idx="2999">
                  <c:v>1.8167571999546661E-3</c:v>
                </c:pt>
                <c:pt idx="3000">
                  <c:v>3.1665945294674373E-3</c:v>
                </c:pt>
                <c:pt idx="3001">
                  <c:v>2.9332854548108573E-3</c:v>
                </c:pt>
                <c:pt idx="3002">
                  <c:v>1.6557860724663233E-2</c:v>
                </c:pt>
                <c:pt idx="3003">
                  <c:v>9.6679887709241134E-3</c:v>
                </c:pt>
                <c:pt idx="3004">
                  <c:v>5.9201569889525043E-3</c:v>
                </c:pt>
                <c:pt idx="3005">
                  <c:v>1.6251256145597838E-3</c:v>
                </c:pt>
                <c:pt idx="3006">
                  <c:v>2.1643332178164399E-3</c:v>
                </c:pt>
                <c:pt idx="3007">
                  <c:v>2.7529349012025551E-3</c:v>
                </c:pt>
                <c:pt idx="3008">
                  <c:v>3.2015154171684056E-3</c:v>
                </c:pt>
                <c:pt idx="3009">
                  <c:v>2.991947959594224E-3</c:v>
                </c:pt>
                <c:pt idx="3010">
                  <c:v>3.1859953692916355E-3</c:v>
                </c:pt>
                <c:pt idx="3011">
                  <c:v>2.581575648327443E-3</c:v>
                </c:pt>
                <c:pt idx="3012">
                  <c:v>1.919675605883388E-3</c:v>
                </c:pt>
                <c:pt idx="3013">
                  <c:v>1.2489704524772996E-3</c:v>
                </c:pt>
                <c:pt idx="3014">
                  <c:v>4.5616742357129239E-3</c:v>
                </c:pt>
                <c:pt idx="3015">
                  <c:v>3.9410921677848773E-3</c:v>
                </c:pt>
                <c:pt idx="3016">
                  <c:v>3.0212762408052761E-3</c:v>
                </c:pt>
                <c:pt idx="3017">
                  <c:v>5.1024011361381393E-3</c:v>
                </c:pt>
                <c:pt idx="3018">
                  <c:v>2.1349470074117976E-3</c:v>
                </c:pt>
                <c:pt idx="3019">
                  <c:v>4.8353429978791147E-3</c:v>
                </c:pt>
                <c:pt idx="3020">
                  <c:v>4.512249405098802E-3</c:v>
                </c:pt>
                <c:pt idx="3021">
                  <c:v>2.9552848226926534E-3</c:v>
                </c:pt>
                <c:pt idx="3022">
                  <c:v>4.1420290352097225E-3</c:v>
                </c:pt>
                <c:pt idx="3023">
                  <c:v>7.8666300096321838E-4</c:v>
                </c:pt>
                <c:pt idx="3024">
                  <c:v>3.2437616266602566E-3</c:v>
                </c:pt>
                <c:pt idx="3025">
                  <c:v>3.2877278071220201E-3</c:v>
                </c:pt>
                <c:pt idx="3026">
                  <c:v>7.1607853082043581E-3</c:v>
                </c:pt>
                <c:pt idx="3027">
                  <c:v>3.1838397632205865E-3</c:v>
                </c:pt>
                <c:pt idx="3028">
                  <c:v>4.8340545380964519E-3</c:v>
                </c:pt>
                <c:pt idx="3029">
                  <c:v>7.1770183163314249E-3</c:v>
                </c:pt>
                <c:pt idx="3030">
                  <c:v>4.3519023217165002E-3</c:v>
                </c:pt>
                <c:pt idx="3031">
                  <c:v>4.6420313004286199E-3</c:v>
                </c:pt>
                <c:pt idx="3032">
                  <c:v>4.8495158032034729E-3</c:v>
                </c:pt>
                <c:pt idx="3033">
                  <c:v>5.0101086137608036E-3</c:v>
                </c:pt>
                <c:pt idx="3034">
                  <c:v>5.5644273108349943E-3</c:v>
                </c:pt>
                <c:pt idx="3035">
                  <c:v>4.5664015334766746E-3</c:v>
                </c:pt>
                <c:pt idx="3036">
                  <c:v>3.2579864662321996E-3</c:v>
                </c:pt>
                <c:pt idx="3037">
                  <c:v>6.3398003834792211E-3</c:v>
                </c:pt>
                <c:pt idx="3038">
                  <c:v>3.698725555959743E-3</c:v>
                </c:pt>
                <c:pt idx="3039">
                  <c:v>5.0680620236348076E-3</c:v>
                </c:pt>
                <c:pt idx="3040">
                  <c:v>4.7691971235137992E-3</c:v>
                </c:pt>
                <c:pt idx="3041">
                  <c:v>3.9492691439453271E-3</c:v>
                </c:pt>
                <c:pt idx="3042">
                  <c:v>6.1484419047376435E-3</c:v>
                </c:pt>
                <c:pt idx="3043">
                  <c:v>7.057819732912831E-3</c:v>
                </c:pt>
                <c:pt idx="3044">
                  <c:v>7.222723790380952E-3</c:v>
                </c:pt>
                <c:pt idx="3045">
                  <c:v>6.7030210726900293E-3</c:v>
                </c:pt>
                <c:pt idx="3046">
                  <c:v>5.2375850046251036E-3</c:v>
                </c:pt>
                <c:pt idx="3047">
                  <c:v>5.2079768990277962E-3</c:v>
                </c:pt>
                <c:pt idx="3048">
                  <c:v>4.5118195992938587E-3</c:v>
                </c:pt>
                <c:pt idx="3049">
                  <c:v>3.8464001774526279E-3</c:v>
                </c:pt>
                <c:pt idx="3050">
                  <c:v>2.9656370808132902E-3</c:v>
                </c:pt>
                <c:pt idx="3051">
                  <c:v>1.4003614014670358E-2</c:v>
                </c:pt>
                <c:pt idx="3052">
                  <c:v>2.8607035782400085E-2</c:v>
                </c:pt>
                <c:pt idx="3053">
                  <c:v>5.5185469735789658E-3</c:v>
                </c:pt>
                <c:pt idx="3054">
                  <c:v>9.7796792682094767E-3</c:v>
                </c:pt>
                <c:pt idx="3055">
                  <c:v>5.8074693588706788E-3</c:v>
                </c:pt>
                <c:pt idx="3056">
                  <c:v>7.7524707448370827E-3</c:v>
                </c:pt>
                <c:pt idx="3057">
                  <c:v>6.8578002268129276E-3</c:v>
                </c:pt>
                <c:pt idx="3058">
                  <c:v>6.1266036984272141E-3</c:v>
                </c:pt>
                <c:pt idx="3059">
                  <c:v>7.9563428451680084E-3</c:v>
                </c:pt>
                <c:pt idx="3060">
                  <c:v>6.1180393961877046E-3</c:v>
                </c:pt>
                <c:pt idx="3061">
                  <c:v>4.3901674596283505E-3</c:v>
                </c:pt>
                <c:pt idx="3062">
                  <c:v>7.1219090590969175E-3</c:v>
                </c:pt>
                <c:pt idx="3063">
                  <c:v>1.0002549721026112E-2</c:v>
                </c:pt>
                <c:pt idx="3064">
                  <c:v>1.1699401875580322E-2</c:v>
                </c:pt>
                <c:pt idx="3065">
                  <c:v>1.1745902024559277E-2</c:v>
                </c:pt>
                <c:pt idx="3066">
                  <c:v>5.4456430105247157E-3</c:v>
                </c:pt>
                <c:pt idx="3067">
                  <c:v>7.1714649870950149E-3</c:v>
                </c:pt>
                <c:pt idx="3068">
                  <c:v>8.6150737678812976E-3</c:v>
                </c:pt>
                <c:pt idx="3069">
                  <c:v>5.6780353208452233E-3</c:v>
                </c:pt>
                <c:pt idx="3070">
                  <c:v>1.0612417484683211E-2</c:v>
                </c:pt>
                <c:pt idx="3071">
                  <c:v>6.5190956743652979E-3</c:v>
                </c:pt>
                <c:pt idx="3072">
                  <c:v>4.3230937573827954E-3</c:v>
                </c:pt>
                <c:pt idx="3073">
                  <c:v>2.8111902781673389E-3</c:v>
                </c:pt>
                <c:pt idx="3074">
                  <c:v>2.8621033934462187E-3</c:v>
                </c:pt>
                <c:pt idx="3075">
                  <c:v>4.1231010484840671E-3</c:v>
                </c:pt>
                <c:pt idx="3076">
                  <c:v>3.581152713504572E-3</c:v>
                </c:pt>
                <c:pt idx="3077">
                  <c:v>3.855870305623248E-3</c:v>
                </c:pt>
                <c:pt idx="3078">
                  <c:v>3.8136836002532191E-3</c:v>
                </c:pt>
                <c:pt idx="3079">
                  <c:v>3.3670280935116999E-3</c:v>
                </c:pt>
                <c:pt idx="3080">
                  <c:v>2.9815963286333033E-3</c:v>
                </c:pt>
                <c:pt idx="3081">
                  <c:v>5.85674701507009E-3</c:v>
                </c:pt>
                <c:pt idx="3082">
                  <c:v>2.7891836097203729E-3</c:v>
                </c:pt>
                <c:pt idx="3083">
                  <c:v>2.531924945429395E-3</c:v>
                </c:pt>
                <c:pt idx="3084">
                  <c:v>2.5673286360349576E-3</c:v>
                </c:pt>
                <c:pt idx="3085">
                  <c:v>2.4554949440968514E-3</c:v>
                </c:pt>
                <c:pt idx="3086">
                  <c:v>3.9540031124076693E-3</c:v>
                </c:pt>
                <c:pt idx="3087">
                  <c:v>2.7102093244857199E-3</c:v>
                </c:pt>
                <c:pt idx="3088">
                  <c:v>1.7778321188685051E-3</c:v>
                </c:pt>
                <c:pt idx="3089">
                  <c:v>1.4401658525139374E-2</c:v>
                </c:pt>
                <c:pt idx="3090">
                  <c:v>1.3345431264771258E-2</c:v>
                </c:pt>
                <c:pt idx="3091">
                  <c:v>6.7308169732197623E-3</c:v>
                </c:pt>
                <c:pt idx="3092">
                  <c:v>1.931349683133222E-3</c:v>
                </c:pt>
                <c:pt idx="3093">
                  <c:v>2.0186791211946123E-3</c:v>
                </c:pt>
                <c:pt idx="3094">
                  <c:v>1.7808597503009371E-3</c:v>
                </c:pt>
                <c:pt idx="3095">
                  <c:v>2.3760280256746695E-3</c:v>
                </c:pt>
                <c:pt idx="3096">
                  <c:v>2.7865945165887348E-3</c:v>
                </c:pt>
                <c:pt idx="3097">
                  <c:v>1.9974968607631188E-3</c:v>
                </c:pt>
                <c:pt idx="3098">
                  <c:v>1.7536103075349672E-3</c:v>
                </c:pt>
                <c:pt idx="3099">
                  <c:v>3.6216392633326416E-3</c:v>
                </c:pt>
                <c:pt idx="3100">
                  <c:v>2.3596145677348495E-3</c:v>
                </c:pt>
                <c:pt idx="3101">
                  <c:v>2.3660936383935833E-3</c:v>
                </c:pt>
                <c:pt idx="3102">
                  <c:v>2.0389958288641813E-3</c:v>
                </c:pt>
                <c:pt idx="3103">
                  <c:v>3.1390007310317498E-3</c:v>
                </c:pt>
                <c:pt idx="3104">
                  <c:v>2.5185398715477161E-3</c:v>
                </c:pt>
                <c:pt idx="3105">
                  <c:v>4.0981492600349482E-3</c:v>
                </c:pt>
                <c:pt idx="3106">
                  <c:v>1.6830342712031949E-2</c:v>
                </c:pt>
                <c:pt idx="3107">
                  <c:v>2.5051543851216146E-3</c:v>
                </c:pt>
                <c:pt idx="3108">
                  <c:v>3.5445392856329749E-3</c:v>
                </c:pt>
                <c:pt idx="3109">
                  <c:v>4.2035392954185196E-3</c:v>
                </c:pt>
                <c:pt idx="3110">
                  <c:v>2.5958221932626188E-3</c:v>
                </c:pt>
                <c:pt idx="3111">
                  <c:v>3.579860527421362E-3</c:v>
                </c:pt>
                <c:pt idx="3112">
                  <c:v>3.3222079717152371E-3</c:v>
                </c:pt>
                <c:pt idx="3113">
                  <c:v>2.6558252378791696E-3</c:v>
                </c:pt>
                <c:pt idx="3114">
                  <c:v>4.3897375329862032E-3</c:v>
                </c:pt>
                <c:pt idx="3115">
                  <c:v>1.7743719428147257E-3</c:v>
                </c:pt>
                <c:pt idx="3116">
                  <c:v>2.3017305808073828E-3</c:v>
                </c:pt>
                <c:pt idx="3117">
                  <c:v>3.7503958575420353E-3</c:v>
                </c:pt>
                <c:pt idx="3118">
                  <c:v>4.3256737067212669E-3</c:v>
                </c:pt>
                <c:pt idx="3119">
                  <c:v>4.5655420286196766E-3</c:v>
                </c:pt>
                <c:pt idx="3120">
                  <c:v>6.6756510631274246E-3</c:v>
                </c:pt>
                <c:pt idx="3121">
                  <c:v>1.0067054679004093E-2</c:v>
                </c:pt>
                <c:pt idx="3122">
                  <c:v>5.0289979820610396E-3</c:v>
                </c:pt>
                <c:pt idx="3123">
                  <c:v>5.2856402413672945E-3</c:v>
                </c:pt>
                <c:pt idx="3124">
                  <c:v>3.3588401473547487E-3</c:v>
                </c:pt>
                <c:pt idx="3125">
                  <c:v>4.4817321358678035E-3</c:v>
                </c:pt>
                <c:pt idx="3126">
                  <c:v>6.013541307706578E-3</c:v>
                </c:pt>
                <c:pt idx="3127">
                  <c:v>4.7395570671709937E-3</c:v>
                </c:pt>
                <c:pt idx="3128">
                  <c:v>3.3256558376167636E-3</c:v>
                </c:pt>
                <c:pt idx="3129">
                  <c:v>5.1895244499215029E-3</c:v>
                </c:pt>
                <c:pt idx="3130">
                  <c:v>4.3179338127266103E-3</c:v>
                </c:pt>
                <c:pt idx="3131">
                  <c:v>3.9131171376377543E-3</c:v>
                </c:pt>
                <c:pt idx="3132">
                  <c:v>3.9699260821833126E-3</c:v>
                </c:pt>
                <c:pt idx="3133">
                  <c:v>6.0323870836522095E-3</c:v>
                </c:pt>
                <c:pt idx="3134">
                  <c:v>8.8593937366627431E-3</c:v>
                </c:pt>
                <c:pt idx="3135">
                  <c:v>4.9843490601528947E-3</c:v>
                </c:pt>
                <c:pt idx="3136">
                  <c:v>5.5815775942035968E-3</c:v>
                </c:pt>
                <c:pt idx="3137">
                  <c:v>3.8550093934135894E-3</c:v>
                </c:pt>
                <c:pt idx="3138">
                  <c:v>4.7004634646329157E-3</c:v>
                </c:pt>
                <c:pt idx="3139">
                  <c:v>5.0251343144738008E-3</c:v>
                </c:pt>
                <c:pt idx="3140">
                  <c:v>5.1354499677883159E-3</c:v>
                </c:pt>
                <c:pt idx="3141">
                  <c:v>4.5096705638884736E-3</c:v>
                </c:pt>
                <c:pt idx="3142">
                  <c:v>4.9937944072151715E-3</c:v>
                </c:pt>
                <c:pt idx="3143">
                  <c:v>6.3505002699482185E-3</c:v>
                </c:pt>
                <c:pt idx="3144">
                  <c:v>8.8253504151723939E-3</c:v>
                </c:pt>
                <c:pt idx="3145">
                  <c:v>1.1030093900865387E-2</c:v>
                </c:pt>
                <c:pt idx="3146">
                  <c:v>7.8301069698094739E-3</c:v>
                </c:pt>
                <c:pt idx="3147">
                  <c:v>5.7954704743752479E-3</c:v>
                </c:pt>
                <c:pt idx="3148">
                  <c:v>3.4411435302089117E-3</c:v>
                </c:pt>
                <c:pt idx="3149">
                  <c:v>4.849086331049684E-3</c:v>
                </c:pt>
                <c:pt idx="3150">
                  <c:v>4.6562104156056819E-3</c:v>
                </c:pt>
                <c:pt idx="3151">
                  <c:v>6.0623673145991782E-3</c:v>
                </c:pt>
                <c:pt idx="3152">
                  <c:v>5.0770763034882656E-3</c:v>
                </c:pt>
                <c:pt idx="3153">
                  <c:v>5.1985362090617238E-3</c:v>
                </c:pt>
                <c:pt idx="3154">
                  <c:v>1.4333592294655586E-2</c:v>
                </c:pt>
                <c:pt idx="3155">
                  <c:v>4.8357724836238418E-3</c:v>
                </c:pt>
                <c:pt idx="3156">
                  <c:v>4.6523434301037527E-3</c:v>
                </c:pt>
                <c:pt idx="3157">
                  <c:v>4.5079513279076009E-3</c:v>
                </c:pt>
                <c:pt idx="3158">
                  <c:v>1.0193914768474862E-2</c:v>
                </c:pt>
                <c:pt idx="3159">
                  <c:v>8.5443911434488502E-3</c:v>
                </c:pt>
                <c:pt idx="3160">
                  <c:v>3.8662011190257434E-3</c:v>
                </c:pt>
                <c:pt idx="3161">
                  <c:v>3.8847098784850036E-3</c:v>
                </c:pt>
                <c:pt idx="3162">
                  <c:v>6.8436928097859026E-3</c:v>
                </c:pt>
                <c:pt idx="3163">
                  <c:v>2.4289000249033726E-2</c:v>
                </c:pt>
                <c:pt idx="3164">
                  <c:v>5.11828205744523E-3</c:v>
                </c:pt>
                <c:pt idx="3165">
                  <c:v>6.1188958340116896E-3</c:v>
                </c:pt>
                <c:pt idx="3166">
                  <c:v>5.9604260842995556E-3</c:v>
                </c:pt>
                <c:pt idx="3167">
                  <c:v>3.1700436310012543E-3</c:v>
                </c:pt>
                <c:pt idx="3168">
                  <c:v>6.5785591491402135E-3</c:v>
                </c:pt>
                <c:pt idx="3169">
                  <c:v>3.4260629256395369E-3</c:v>
                </c:pt>
                <c:pt idx="3170">
                  <c:v>4.0237155816731486E-3</c:v>
                </c:pt>
                <c:pt idx="3171">
                  <c:v>5.1191404690807121E-3</c:v>
                </c:pt>
                <c:pt idx="3172">
                  <c:v>5.1028303578630509E-3</c:v>
                </c:pt>
                <c:pt idx="3173">
                  <c:v>3.7150884832611833E-3</c:v>
                </c:pt>
                <c:pt idx="3174">
                  <c:v>2.226988350262857E-3</c:v>
                </c:pt>
                <c:pt idx="3175">
                  <c:v>2.1932853334491764E-3</c:v>
                </c:pt>
                <c:pt idx="3176">
                  <c:v>2.4563586350690829E-3</c:v>
                </c:pt>
                <c:pt idx="3177">
                  <c:v>2.8668492271923794E-3</c:v>
                </c:pt>
                <c:pt idx="3178">
                  <c:v>2.6614366095163737E-3</c:v>
                </c:pt>
                <c:pt idx="3179">
                  <c:v>2.618270345998965E-3</c:v>
                </c:pt>
                <c:pt idx="3180">
                  <c:v>2.7430091319387015E-3</c:v>
                </c:pt>
                <c:pt idx="3181">
                  <c:v>2.4934957220832487E-3</c:v>
                </c:pt>
                <c:pt idx="3182">
                  <c:v>3.4208923120922921E-3</c:v>
                </c:pt>
                <c:pt idx="3183">
                  <c:v>1.7908075335443404E-3</c:v>
                </c:pt>
                <c:pt idx="3184">
                  <c:v>2.332833383523187E-3</c:v>
                </c:pt>
                <c:pt idx="3185">
                  <c:v>3.2954860828348946E-3</c:v>
                </c:pt>
                <c:pt idx="3186">
                  <c:v>2.2390862311807663E-3</c:v>
                </c:pt>
                <c:pt idx="3187">
                  <c:v>1.5208390477259538E-3</c:v>
                </c:pt>
                <c:pt idx="3188">
                  <c:v>1.9719903190378208E-3</c:v>
                </c:pt>
                <c:pt idx="3189">
                  <c:v>2.4377889006289418E-3</c:v>
                </c:pt>
                <c:pt idx="3190">
                  <c:v>2.9082652114556136E-3</c:v>
                </c:pt>
                <c:pt idx="3191">
                  <c:v>3.2493654069595231E-3</c:v>
                </c:pt>
                <c:pt idx="3192">
                  <c:v>2.2714896091512379E-3</c:v>
                </c:pt>
                <c:pt idx="3193">
                  <c:v>7.7793463933179697E-3</c:v>
                </c:pt>
                <c:pt idx="3194">
                  <c:v>4.2757919698108377E-3</c:v>
                </c:pt>
                <c:pt idx="3195">
                  <c:v>2.061905018669576E-3</c:v>
                </c:pt>
                <c:pt idx="3196">
                  <c:v>2.5021317988309761E-3</c:v>
                </c:pt>
                <c:pt idx="3197">
                  <c:v>2.2213713624220869E-3</c:v>
                </c:pt>
                <c:pt idx="3198">
                  <c:v>2.9268148404063567E-3</c:v>
                </c:pt>
                <c:pt idx="3199">
                  <c:v>2.4231052926507591E-3</c:v>
                </c:pt>
                <c:pt idx="3200">
                  <c:v>1.986689186995151E-3</c:v>
                </c:pt>
                <c:pt idx="3201">
                  <c:v>3.3924528371416184E-3</c:v>
                </c:pt>
                <c:pt idx="3202">
                  <c:v>2.2334693998078904E-3</c:v>
                </c:pt>
                <c:pt idx="3203">
                  <c:v>6.5777036173032769E-3</c:v>
                </c:pt>
                <c:pt idx="3204">
                  <c:v>4.040926814571002E-3</c:v>
                </c:pt>
                <c:pt idx="3205">
                  <c:v>3.0346458294186565E-3</c:v>
                </c:pt>
                <c:pt idx="3206">
                  <c:v>3.553585243148897E-3</c:v>
                </c:pt>
                <c:pt idx="3207">
                  <c:v>2.0212727963723393E-3</c:v>
                </c:pt>
                <c:pt idx="3208">
                  <c:v>3.1579716557899613E-3</c:v>
                </c:pt>
                <c:pt idx="3209">
                  <c:v>3.6354210575015524E-3</c:v>
                </c:pt>
                <c:pt idx="3210">
                  <c:v>2.7447353689760245E-3</c:v>
                </c:pt>
                <c:pt idx="3211">
                  <c:v>4.5255731740772784E-3</c:v>
                </c:pt>
                <c:pt idx="3212">
                  <c:v>2.9035198302712192E-3</c:v>
                </c:pt>
                <c:pt idx="3213">
                  <c:v>3.0493087759536144E-3</c:v>
                </c:pt>
                <c:pt idx="3214">
                  <c:v>3.6694429893639816E-3</c:v>
                </c:pt>
                <c:pt idx="3215">
                  <c:v>4.3798491027477954E-3</c:v>
                </c:pt>
                <c:pt idx="3216">
                  <c:v>6.0529451793092286E-3</c:v>
                </c:pt>
                <c:pt idx="3217">
                  <c:v>7.9030382519489316E-3</c:v>
                </c:pt>
                <c:pt idx="3218">
                  <c:v>4.2757919698108377E-3</c:v>
                </c:pt>
                <c:pt idx="3219">
                  <c:v>4.9955117209744861E-3</c:v>
                </c:pt>
                <c:pt idx="3220">
                  <c:v>4.6953080016651988E-3</c:v>
                </c:pt>
                <c:pt idx="3221">
                  <c:v>3.5238621037508191E-3</c:v>
                </c:pt>
                <c:pt idx="3222">
                  <c:v>4.151492719227586E-3</c:v>
                </c:pt>
                <c:pt idx="3223">
                  <c:v>3.8468306423039456E-3</c:v>
                </c:pt>
                <c:pt idx="3224">
                  <c:v>2.9311285940545164E-3</c:v>
                </c:pt>
                <c:pt idx="3225">
                  <c:v>4.3286836282453636E-3</c:v>
                </c:pt>
                <c:pt idx="3226">
                  <c:v>3.4010710565214549E-3</c:v>
                </c:pt>
                <c:pt idx="3227">
                  <c:v>5.714040714143654E-3</c:v>
                </c:pt>
                <c:pt idx="3228">
                  <c:v>4.9315371982058716E-3</c:v>
                </c:pt>
                <c:pt idx="3229">
                  <c:v>3.7633124724497638E-3</c:v>
                </c:pt>
                <c:pt idx="3230">
                  <c:v>3.0557775655746379E-3</c:v>
                </c:pt>
                <c:pt idx="3231">
                  <c:v>4.5281519208598955E-3</c:v>
                </c:pt>
                <c:pt idx="3232">
                  <c:v>5.0453108662681361E-3</c:v>
                </c:pt>
                <c:pt idx="3233">
                  <c:v>5.0135431054707733E-3</c:v>
                </c:pt>
                <c:pt idx="3234">
                  <c:v>4.2547195147882638E-3</c:v>
                </c:pt>
                <c:pt idx="3235">
                  <c:v>4.5096705638884736E-3</c:v>
                </c:pt>
                <c:pt idx="3236">
                  <c:v>4.8937491604912767E-3</c:v>
                </c:pt>
                <c:pt idx="3237">
                  <c:v>4.0095158010308284E-3</c:v>
                </c:pt>
                <c:pt idx="3238">
                  <c:v>3.7805340280982658E-3</c:v>
                </c:pt>
                <c:pt idx="3239">
                  <c:v>4.8456505385296809E-3</c:v>
                </c:pt>
                <c:pt idx="3240">
                  <c:v>5.0757885606786497E-3</c:v>
                </c:pt>
                <c:pt idx="3241">
                  <c:v>4.339863154130875E-3</c:v>
                </c:pt>
                <c:pt idx="3242">
                  <c:v>5.8370366235458351E-3</c:v>
                </c:pt>
                <c:pt idx="3243">
                  <c:v>4.8344840251153733E-3</c:v>
                </c:pt>
                <c:pt idx="3244">
                  <c:v>4.0034915114003982E-3</c:v>
                </c:pt>
                <c:pt idx="3245">
                  <c:v>4.5698395358943576E-3</c:v>
                </c:pt>
                <c:pt idx="3246">
                  <c:v>5.8785987948178197E-3</c:v>
                </c:pt>
                <c:pt idx="3247">
                  <c:v>5.781328506327477E-3</c:v>
                </c:pt>
                <c:pt idx="3248">
                  <c:v>5.9188717435717858E-3</c:v>
                </c:pt>
                <c:pt idx="3249">
                  <c:v>5.5138300286268413E-3</c:v>
                </c:pt>
                <c:pt idx="3250">
                  <c:v>4.7842311614394945E-3</c:v>
                </c:pt>
                <c:pt idx="3251">
                  <c:v>4.8039893912594838E-3</c:v>
                </c:pt>
                <c:pt idx="3252">
                  <c:v>8.9066244256293548E-3</c:v>
                </c:pt>
                <c:pt idx="3253">
                  <c:v>3.0661274285599246E-3</c:v>
                </c:pt>
                <c:pt idx="3254">
                  <c:v>4.0602886363093182E-3</c:v>
                </c:pt>
                <c:pt idx="3255">
                  <c:v>2.3639339589138471E-3</c:v>
                </c:pt>
                <c:pt idx="3256">
                  <c:v>4.3635112029656292E-3</c:v>
                </c:pt>
                <c:pt idx="3257">
                  <c:v>6.8744720379626152E-3</c:v>
                </c:pt>
                <c:pt idx="3258">
                  <c:v>5.8580324443147907E-3</c:v>
                </c:pt>
                <c:pt idx="3259">
                  <c:v>6.3209679429961259E-3</c:v>
                </c:pt>
                <c:pt idx="3260">
                  <c:v>8.4404753152189736E-3</c:v>
                </c:pt>
                <c:pt idx="3261">
                  <c:v>6.9373061897124852E-3</c:v>
                </c:pt>
                <c:pt idx="3262">
                  <c:v>8.766193796925479E-3</c:v>
                </c:pt>
                <c:pt idx="3263">
                  <c:v>2.7045985829928071E-3</c:v>
                </c:pt>
                <c:pt idx="3264">
                  <c:v>3.3976237892920954E-3</c:v>
                </c:pt>
                <c:pt idx="3265">
                  <c:v>4.4206911634340901E-3</c:v>
                </c:pt>
                <c:pt idx="3266">
                  <c:v>2.541855540124629E-3</c:v>
                </c:pt>
                <c:pt idx="3267">
                  <c:v>3.9819755090981087E-3</c:v>
                </c:pt>
                <c:pt idx="3268">
                  <c:v>4.6072260549313007E-3</c:v>
                </c:pt>
                <c:pt idx="3269">
                  <c:v>3.0393897780600413E-3</c:v>
                </c:pt>
                <c:pt idx="3270">
                  <c:v>3.81755806041663E-3</c:v>
                </c:pt>
                <c:pt idx="3271">
                  <c:v>1.8859487309855762E-3</c:v>
                </c:pt>
                <c:pt idx="3272">
                  <c:v>3.7542708823514711E-3</c:v>
                </c:pt>
                <c:pt idx="3273">
                  <c:v>3.6883907579037586E-3</c:v>
                </c:pt>
                <c:pt idx="3274">
                  <c:v>4.0701843451993154E-3</c:v>
                </c:pt>
                <c:pt idx="3275">
                  <c:v>3.0898449343108505E-3</c:v>
                </c:pt>
                <c:pt idx="3276">
                  <c:v>2.6584151107209453E-3</c:v>
                </c:pt>
                <c:pt idx="3277">
                  <c:v>3.5742610099656416E-3</c:v>
                </c:pt>
                <c:pt idx="3278">
                  <c:v>3.126927892885792E-3</c:v>
                </c:pt>
                <c:pt idx="3279">
                  <c:v>3.5436777560426064E-3</c:v>
                </c:pt>
                <c:pt idx="3280">
                  <c:v>4.083951912922535E-3</c:v>
                </c:pt>
                <c:pt idx="3281">
                  <c:v>2.120685335708296E-3</c:v>
                </c:pt>
                <c:pt idx="3282">
                  <c:v>2.7201358434065636E-3</c:v>
                </c:pt>
                <c:pt idx="3283">
                  <c:v>2.5725094218539794E-3</c:v>
                </c:pt>
                <c:pt idx="3284">
                  <c:v>2.71279887303466E-3</c:v>
                </c:pt>
                <c:pt idx="3285">
                  <c:v>2.1505046606092398E-3</c:v>
                </c:pt>
                <c:pt idx="3286">
                  <c:v>3.3002271830991068E-3</c:v>
                </c:pt>
                <c:pt idx="3287">
                  <c:v>1.8993533154032512E-3</c:v>
                </c:pt>
                <c:pt idx="3288">
                  <c:v>4.591756161536141E-3</c:v>
                </c:pt>
                <c:pt idx="3289">
                  <c:v>3.8145445943877899E-3</c:v>
                </c:pt>
                <c:pt idx="3290">
                  <c:v>4.4494932546667353E-3</c:v>
                </c:pt>
                <c:pt idx="3291">
                  <c:v>4.1166481371795512E-3</c:v>
                </c:pt>
                <c:pt idx="3292">
                  <c:v>3.9010658000812179E-3</c:v>
                </c:pt>
                <c:pt idx="3293">
                  <c:v>4.421550955010416E-3</c:v>
                </c:pt>
                <c:pt idx="3294">
                  <c:v>7.9405653672418273E-3</c:v>
                </c:pt>
                <c:pt idx="3295">
                  <c:v>4.9255256848609527E-3</c:v>
                </c:pt>
                <c:pt idx="3296">
                  <c:v>5.1118439160962479E-3</c:v>
                </c:pt>
                <c:pt idx="3297">
                  <c:v>7.4358101184378873E-3</c:v>
                </c:pt>
                <c:pt idx="3298">
                  <c:v>5.7920421607716962E-3</c:v>
                </c:pt>
                <c:pt idx="3299">
                  <c:v>8.018167977948255E-3</c:v>
                </c:pt>
                <c:pt idx="3300">
                  <c:v>4.6269923390575536E-3</c:v>
                </c:pt>
                <c:pt idx="3301">
                  <c:v>4.4795829515739882E-3</c:v>
                </c:pt>
                <c:pt idx="3302">
                  <c:v>1.197959555446344E-2</c:v>
                </c:pt>
                <c:pt idx="3303">
                  <c:v>1.6156348822180942E-2</c:v>
                </c:pt>
                <c:pt idx="3304">
                  <c:v>1.380592734059255E-2</c:v>
                </c:pt>
                <c:pt idx="3305">
                  <c:v>3.5751224788888231E-3</c:v>
                </c:pt>
                <c:pt idx="3306">
                  <c:v>2.2688974278818651E-3</c:v>
                </c:pt>
                <c:pt idx="3307">
                  <c:v>4.8684121575277954E-3</c:v>
                </c:pt>
                <c:pt idx="3308">
                  <c:v>4.2246142338488715E-3</c:v>
                </c:pt>
                <c:pt idx="3309">
                  <c:v>2.6679502763508833E-2</c:v>
                </c:pt>
                <c:pt idx="3310">
                  <c:v>4.1392685158225077E-2</c:v>
                </c:pt>
                <c:pt idx="3311">
                  <c:v>3.7547014385293244E-3</c:v>
                </c:pt>
                <c:pt idx="3312">
                  <c:v>6.6760787327923479E-3</c:v>
                </c:pt>
                <c:pt idx="3313">
                  <c:v>6.1492982826093067E-3</c:v>
                </c:pt>
                <c:pt idx="3314">
                  <c:v>4.7730630686875592E-3</c:v>
                </c:pt>
                <c:pt idx="3315">
                  <c:v>3.4980142419234073E-3</c:v>
                </c:pt>
                <c:pt idx="3316">
                  <c:v>6.7385139849941511E-3</c:v>
                </c:pt>
                <c:pt idx="3317">
                  <c:v>4.8392083542917385E-3</c:v>
                </c:pt>
                <c:pt idx="3318">
                  <c:v>5.511257127968446E-3</c:v>
                </c:pt>
                <c:pt idx="3319">
                  <c:v>2.5936636558882994E-3</c:v>
                </c:pt>
                <c:pt idx="3320">
                  <c:v>2.7011457829682096E-3</c:v>
                </c:pt>
                <c:pt idx="3321">
                  <c:v>2.8111902781673389E-3</c:v>
                </c:pt>
                <c:pt idx="3322">
                  <c:v>4.0826612219887412E-3</c:v>
                </c:pt>
                <c:pt idx="3323">
                  <c:v>4.061149141685645E-3</c:v>
                </c:pt>
                <c:pt idx="3324">
                  <c:v>5.4370652690509088E-3</c:v>
                </c:pt>
                <c:pt idx="3325">
                  <c:v>3.9410921677848773E-3</c:v>
                </c:pt>
                <c:pt idx="3326">
                  <c:v>2.7326515656220024E-3</c:v>
                </c:pt>
                <c:pt idx="3327">
                  <c:v>3.6858070199620439E-3</c:v>
                </c:pt>
                <c:pt idx="3328">
                  <c:v>2.7197042603451828E-3</c:v>
                </c:pt>
                <c:pt idx="3329">
                  <c:v>4.2813824495312042E-3</c:v>
                </c:pt>
                <c:pt idx="3330">
                  <c:v>3.48508973409257E-3</c:v>
                </c:pt>
                <c:pt idx="3331">
                  <c:v>3.6483410923462689E-3</c:v>
                </c:pt>
                <c:pt idx="3332">
                  <c:v>3.6784863456508689E-3</c:v>
                </c:pt>
                <c:pt idx="3333">
                  <c:v>3.0156695166382373E-3</c:v>
                </c:pt>
                <c:pt idx="3334">
                  <c:v>4.2805223804120666E-3</c:v>
                </c:pt>
                <c:pt idx="3335">
                  <c:v>8.7857716993737303E-3</c:v>
                </c:pt>
                <c:pt idx="3336">
                  <c:v>3.2338470689973874E-3</c:v>
                </c:pt>
                <c:pt idx="3337">
                  <c:v>2.2658731968458489E-3</c:v>
                </c:pt>
                <c:pt idx="3338">
                  <c:v>7.6308696459219437E-3</c:v>
                </c:pt>
                <c:pt idx="3339">
                  <c:v>3.6280995338042986E-3</c:v>
                </c:pt>
                <c:pt idx="3340">
                  <c:v>3.9858484681808051E-3</c:v>
                </c:pt>
                <c:pt idx="3341">
                  <c:v>3.9458262253795999E-3</c:v>
                </c:pt>
                <c:pt idx="3342">
                  <c:v>2.417490840750366E-3</c:v>
                </c:pt>
                <c:pt idx="3343">
                  <c:v>4.8890254245850433E-3</c:v>
                </c:pt>
                <c:pt idx="3344">
                  <c:v>5.8340371377171053E-3</c:v>
                </c:pt>
                <c:pt idx="3345">
                  <c:v>5.0354373516567968E-3</c:v>
                </c:pt>
                <c:pt idx="3346">
                  <c:v>4.9354016985587133E-3</c:v>
                </c:pt>
                <c:pt idx="3347">
                  <c:v>4.0529742717708289E-3</c:v>
                </c:pt>
                <c:pt idx="3348">
                  <c:v>5.6385974171517129E-3</c:v>
                </c:pt>
                <c:pt idx="3349">
                  <c:v>9.7240499493887588E-3</c:v>
                </c:pt>
                <c:pt idx="3350">
                  <c:v>1.0834437519311053E-2</c:v>
                </c:pt>
                <c:pt idx="3351">
                  <c:v>1.3262035159729646E-2</c:v>
                </c:pt>
                <c:pt idx="3352">
                  <c:v>1.4062902474063109E-2</c:v>
                </c:pt>
                <c:pt idx="3353">
                  <c:v>5.2860692820317062E-3</c:v>
                </c:pt>
                <c:pt idx="3354">
                  <c:v>3.4743190170774853E-3</c:v>
                </c:pt>
                <c:pt idx="3355">
                  <c:v>0.16235676771617055</c:v>
                </c:pt>
                <c:pt idx="3356">
                  <c:v>6.0285323323748226E-3</c:v>
                </c:pt>
                <c:pt idx="3357">
                  <c:v>3.9983277680621359E-3</c:v>
                </c:pt>
                <c:pt idx="3358">
                  <c:v>3.490690401376762E-3</c:v>
                </c:pt>
                <c:pt idx="3359">
                  <c:v>2.9153175103293651E-2</c:v>
                </c:pt>
                <c:pt idx="3360">
                  <c:v>6.1188958340116896E-3</c:v>
                </c:pt>
                <c:pt idx="3361">
                  <c:v>5.5142588439212837E-3</c:v>
                </c:pt>
                <c:pt idx="3362">
                  <c:v>6.1591465067625528E-3</c:v>
                </c:pt>
                <c:pt idx="3363">
                  <c:v>3.3657352701707316E-3</c:v>
                </c:pt>
                <c:pt idx="3364">
                  <c:v>4.3140638140017522E-3</c:v>
                </c:pt>
                <c:pt idx="3365">
                  <c:v>6.0443794243837511E-3</c:v>
                </c:pt>
                <c:pt idx="3366">
                  <c:v>6.5477589411964028E-3</c:v>
                </c:pt>
                <c:pt idx="3367">
                  <c:v>4.5810128557934489E-3</c:v>
                </c:pt>
                <c:pt idx="3368">
                  <c:v>2.5444460927007552E-3</c:v>
                </c:pt>
                <c:pt idx="3369">
                  <c:v>6.240064761866961E-3</c:v>
                </c:pt>
                <c:pt idx="3370">
                  <c:v>4.8383493891731907E-3</c:v>
                </c:pt>
                <c:pt idx="3371">
                  <c:v>3.7069070966737811E-3</c:v>
                </c:pt>
                <c:pt idx="3372">
                  <c:v>3.6664284954209848E-3</c:v>
                </c:pt>
                <c:pt idx="3373">
                  <c:v>2.7999713316297012E-3</c:v>
                </c:pt>
                <c:pt idx="3374">
                  <c:v>5.9745622216749493E-3</c:v>
                </c:pt>
                <c:pt idx="3375">
                  <c:v>4.3583517384981774E-3</c:v>
                </c:pt>
                <c:pt idx="3376">
                  <c:v>4.4494932546667353E-3</c:v>
                </c:pt>
                <c:pt idx="3377">
                  <c:v>3.3721993483903081E-3</c:v>
                </c:pt>
                <c:pt idx="3378">
                  <c:v>4.5186964411304282E-3</c:v>
                </c:pt>
                <c:pt idx="3379">
                  <c:v>4.4559412223643393E-3</c:v>
                </c:pt>
                <c:pt idx="3380">
                  <c:v>2.7283358400838746E-3</c:v>
                </c:pt>
                <c:pt idx="3381">
                  <c:v>4.1080441062910193E-3</c:v>
                </c:pt>
                <c:pt idx="3382">
                  <c:v>3.4144289585879418E-3</c:v>
                </c:pt>
                <c:pt idx="3383">
                  <c:v>3.84123456595588E-3</c:v>
                </c:pt>
                <c:pt idx="3384">
                  <c:v>5.3787321336102806E-3</c:v>
                </c:pt>
                <c:pt idx="3385">
                  <c:v>7.3956775993535839E-3</c:v>
                </c:pt>
                <c:pt idx="3386">
                  <c:v>2.094753823592727E-3</c:v>
                </c:pt>
                <c:pt idx="3387">
                  <c:v>4.48817962493624E-3</c:v>
                </c:pt>
                <c:pt idx="3388">
                  <c:v>5.1993944620843079E-3</c:v>
                </c:pt>
                <c:pt idx="3389">
                  <c:v>6.7645972882445747E-3</c:v>
                </c:pt>
                <c:pt idx="3390">
                  <c:v>5.9265831588037323E-3</c:v>
                </c:pt>
                <c:pt idx="3391">
                  <c:v>4.7919627497262441E-3</c:v>
                </c:pt>
                <c:pt idx="3392">
                  <c:v>7.1753096072064903E-3</c:v>
                </c:pt>
                <c:pt idx="3393">
                  <c:v>7.9614597419450685E-3</c:v>
                </c:pt>
                <c:pt idx="3394">
                  <c:v>5.4615113856348717E-3</c:v>
                </c:pt>
                <c:pt idx="3395">
                  <c:v>8.7410817169896633E-3</c:v>
                </c:pt>
                <c:pt idx="3396">
                  <c:v>5.4597959135751781E-3</c:v>
                </c:pt>
                <c:pt idx="3397">
                  <c:v>6.0623673145991782E-3</c:v>
                </c:pt>
                <c:pt idx="3398">
                  <c:v>6.5635870986675716E-3</c:v>
                </c:pt>
                <c:pt idx="3399">
                  <c:v>6.1051926261545776E-3</c:v>
                </c:pt>
                <c:pt idx="3400">
                  <c:v>3.7620208282461019E-3</c:v>
                </c:pt>
                <c:pt idx="3401">
                  <c:v>3.1532290022896364E-3</c:v>
                </c:pt>
                <c:pt idx="3402">
                  <c:v>6.1578619684507525E-3</c:v>
                </c:pt>
                <c:pt idx="3403">
                  <c:v>3.6922663359952382E-3</c:v>
                </c:pt>
                <c:pt idx="3404">
                  <c:v>3.4536384915902709E-3</c:v>
                </c:pt>
                <c:pt idx="3405">
                  <c:v>2.2360617925452604E-3</c:v>
                </c:pt>
                <c:pt idx="3406">
                  <c:v>2.8763407391045911E-3</c:v>
                </c:pt>
                <c:pt idx="3407">
                  <c:v>7.5002705513470824E-3</c:v>
                </c:pt>
                <c:pt idx="3408">
                  <c:v>9.3365703651543466E-3</c:v>
                </c:pt>
                <c:pt idx="3409">
                  <c:v>1.0231668642825363E-2</c:v>
                </c:pt>
                <c:pt idx="3410">
                  <c:v>8.6516879537237683E-3</c:v>
                </c:pt>
                <c:pt idx="3411">
                  <c:v>5.4199092778300781E-3</c:v>
                </c:pt>
                <c:pt idx="3412">
                  <c:v>3.7499652970956394E-3</c:v>
                </c:pt>
                <c:pt idx="3413">
                  <c:v>1.2818808007215496E-3</c:v>
                </c:pt>
                <c:pt idx="3414">
                  <c:v>2.5060179773408655E-3</c:v>
                </c:pt>
                <c:pt idx="3415">
                  <c:v>3.9621798454843871E-3</c:v>
                </c:pt>
                <c:pt idx="3416">
                  <c:v>3.2903139144257985E-3</c:v>
                </c:pt>
                <c:pt idx="3417">
                  <c:v>5.311810946283157E-3</c:v>
                </c:pt>
                <c:pt idx="3418">
                  <c:v>4.8963257220574269E-3</c:v>
                </c:pt>
                <c:pt idx="3419">
                  <c:v>5.5567094623559981E-3</c:v>
                </c:pt>
                <c:pt idx="3420">
                  <c:v>4.7979761121236331E-3</c:v>
                </c:pt>
                <c:pt idx="3421">
                  <c:v>3.1700436310012543E-3</c:v>
                </c:pt>
                <c:pt idx="3422">
                  <c:v>1.8509218961308214E-3</c:v>
                </c:pt>
                <c:pt idx="3423">
                  <c:v>6.3380883771802657E-3</c:v>
                </c:pt>
                <c:pt idx="3424">
                  <c:v>2.5953904866460641E-3</c:v>
                </c:pt>
                <c:pt idx="3425">
                  <c:v>2.7589765627319845E-3</c:v>
                </c:pt>
                <c:pt idx="3426">
                  <c:v>2.2585285480815182E-3</c:v>
                </c:pt>
                <c:pt idx="3427">
                  <c:v>2.5854611160215694E-3</c:v>
                </c:pt>
                <c:pt idx="3428">
                  <c:v>1.837083355698364E-3</c:v>
                </c:pt>
                <c:pt idx="3429">
                  <c:v>3.132102007472058E-3</c:v>
                </c:pt>
                <c:pt idx="3430">
                  <c:v>3.1924621233098563E-3</c:v>
                </c:pt>
                <c:pt idx="3431">
                  <c:v>3.0337832877345718E-3</c:v>
                </c:pt>
                <c:pt idx="3432">
                  <c:v>2.6104999628977278E-3</c:v>
                </c:pt>
                <c:pt idx="3433">
                  <c:v>3.3002271830991068E-3</c:v>
                </c:pt>
                <c:pt idx="3434">
                  <c:v>3.7585764249221595E-3</c:v>
                </c:pt>
                <c:pt idx="3435">
                  <c:v>2.9509713089776344E-3</c:v>
                </c:pt>
                <c:pt idx="3436">
                  <c:v>4.4615293835993126E-3</c:v>
                </c:pt>
                <c:pt idx="3437">
                  <c:v>5.4400674978381247E-3</c:v>
                </c:pt>
                <c:pt idx="3438">
                  <c:v>5.5785763435037446E-3</c:v>
                </c:pt>
                <c:pt idx="3439">
                  <c:v>4.7979761121236331E-3</c:v>
                </c:pt>
                <c:pt idx="3440">
                  <c:v>4.3815688459191886E-3</c:v>
                </c:pt>
                <c:pt idx="3441">
                  <c:v>3.4937061153830101E-3</c:v>
                </c:pt>
                <c:pt idx="3442">
                  <c:v>5.657459470085527E-3</c:v>
                </c:pt>
                <c:pt idx="3443">
                  <c:v>5.5584245516485681E-3</c:v>
                </c:pt>
                <c:pt idx="3444">
                  <c:v>4.7979761121236331E-3</c:v>
                </c:pt>
                <c:pt idx="3445">
                  <c:v>2.9915166465636798E-3</c:v>
                </c:pt>
                <c:pt idx="3446">
                  <c:v>3.5522929750395811E-3</c:v>
                </c:pt>
                <c:pt idx="3447">
                  <c:v>4.5603849637559099E-3</c:v>
                </c:pt>
                <c:pt idx="3448">
                  <c:v>5.0062447781213451E-3</c:v>
                </c:pt>
                <c:pt idx="3449">
                  <c:v>3.7249920608193958E-3</c:v>
                </c:pt>
                <c:pt idx="3450">
                  <c:v>8.8640744846836417E-3</c:v>
                </c:pt>
                <c:pt idx="3451">
                  <c:v>7.1975223014666264E-3</c:v>
                </c:pt>
                <c:pt idx="3452">
                  <c:v>5.6968956610473961E-3</c:v>
                </c:pt>
                <c:pt idx="3453">
                  <c:v>8.039058619529655E-3</c:v>
                </c:pt>
                <c:pt idx="3454">
                  <c:v>2.061358085583101E-2</c:v>
                </c:pt>
                <c:pt idx="3455">
                  <c:v>5.7204699345579481E-3</c:v>
                </c:pt>
                <c:pt idx="3456">
                  <c:v>5.1933866553077529E-3</c:v>
                </c:pt>
                <c:pt idx="3457">
                  <c:v>5.2470248457961556E-3</c:v>
                </c:pt>
                <c:pt idx="3458">
                  <c:v>5.7886138201048787E-3</c:v>
                </c:pt>
                <c:pt idx="3459">
                  <c:v>3.9923033232345086E-3</c:v>
                </c:pt>
                <c:pt idx="3460">
                  <c:v>5.2933629084789087E-3</c:v>
                </c:pt>
                <c:pt idx="3461">
                  <c:v>3.946686957579811E-3</c:v>
                </c:pt>
                <c:pt idx="3462">
                  <c:v>3.5996736248834374E-3</c:v>
                </c:pt>
                <c:pt idx="3463">
                  <c:v>4.5320200123240674E-3</c:v>
                </c:pt>
                <c:pt idx="3464">
                  <c:v>5.7980416918178776E-3</c:v>
                </c:pt>
                <c:pt idx="3465">
                  <c:v>2.5824390885969481E-3</c:v>
                </c:pt>
                <c:pt idx="3466">
                  <c:v>5.2199920258204253E-3</c:v>
                </c:pt>
                <c:pt idx="3467">
                  <c:v>4.8220287291209571E-3</c:v>
                </c:pt>
                <c:pt idx="3468">
                  <c:v>2.531924945429395E-3</c:v>
                </c:pt>
                <c:pt idx="3469">
                  <c:v>4.08954486264423E-3</c:v>
                </c:pt>
                <c:pt idx="3470">
                  <c:v>3.4700106554769561E-3</c:v>
                </c:pt>
                <c:pt idx="3471">
                  <c:v>2.1116094825925189E-3</c:v>
                </c:pt>
                <c:pt idx="3472">
                  <c:v>1.8967589119987572E-3</c:v>
                </c:pt>
                <c:pt idx="3473">
                  <c:v>3.4510533566607378E-3</c:v>
                </c:pt>
                <c:pt idx="3474">
                  <c:v>3.975090163225569E-3</c:v>
                </c:pt>
                <c:pt idx="3475">
                  <c:v>4.2267646802684423E-3</c:v>
                </c:pt>
                <c:pt idx="3476">
                  <c:v>1.8941644930955378E-3</c:v>
                </c:pt>
                <c:pt idx="3477">
                  <c:v>2.8668492271923794E-3</c:v>
                </c:pt>
                <c:pt idx="3478">
                  <c:v>3.788283505347875E-3</c:v>
                </c:pt>
                <c:pt idx="3479">
                  <c:v>3.270917734272882E-3</c:v>
                </c:pt>
                <c:pt idx="3480">
                  <c:v>4.2026790721263014E-3</c:v>
                </c:pt>
                <c:pt idx="3481">
                  <c:v>6.048662322964647E-3</c:v>
                </c:pt>
                <c:pt idx="3482">
                  <c:v>3.6349903830537557E-3</c:v>
                </c:pt>
                <c:pt idx="3483">
                  <c:v>3.8356384174990637E-3</c:v>
                </c:pt>
                <c:pt idx="3484">
                  <c:v>3.7280061482939581E-3</c:v>
                </c:pt>
                <c:pt idx="3485">
                  <c:v>6.7782797061516509E-3</c:v>
                </c:pt>
                <c:pt idx="3486">
                  <c:v>2.2192109631390768E-3</c:v>
                </c:pt>
                <c:pt idx="3487">
                  <c:v>4.3871579641954371E-3</c:v>
                </c:pt>
                <c:pt idx="3488">
                  <c:v>6.8351426370395034E-3</c:v>
                </c:pt>
                <c:pt idx="3489">
                  <c:v>6.0152545938587541E-3</c:v>
                </c:pt>
                <c:pt idx="3490">
                  <c:v>5.6223068030607348E-3</c:v>
                </c:pt>
                <c:pt idx="3491">
                  <c:v>7.3576763704905684E-3</c:v>
                </c:pt>
                <c:pt idx="3492">
                  <c:v>6.1946838934845601E-3</c:v>
                </c:pt>
                <c:pt idx="3493">
                  <c:v>5.6848937211407356E-3</c:v>
                </c:pt>
                <c:pt idx="3494">
                  <c:v>4.2925631930851955E-3</c:v>
                </c:pt>
                <c:pt idx="3495">
                  <c:v>2.403238444557307E-3</c:v>
                </c:pt>
                <c:pt idx="3496">
                  <c:v>6.8560902612768036E-3</c:v>
                </c:pt>
                <c:pt idx="3497">
                  <c:v>6.9885926360555989E-3</c:v>
                </c:pt>
                <c:pt idx="3498">
                  <c:v>4.9542943163986526E-3</c:v>
                </c:pt>
                <c:pt idx="3499">
                  <c:v>4.8799812935613404E-2</c:v>
                </c:pt>
                <c:pt idx="3500">
                  <c:v>3.0010054342884981E-3</c:v>
                </c:pt>
                <c:pt idx="3501">
                  <c:v>2.8482970367528795E-3</c:v>
                </c:pt>
                <c:pt idx="3502">
                  <c:v>3.7818256172426922E-3</c:v>
                </c:pt>
                <c:pt idx="3503">
                  <c:v>1.0083603748856359E-2</c:v>
                </c:pt>
                <c:pt idx="3504">
                  <c:v>9.5511714011042893E-3</c:v>
                </c:pt>
                <c:pt idx="3505">
                  <c:v>3.1381383965796987E-3</c:v>
                </c:pt>
                <c:pt idx="3506">
                  <c:v>3.5996736248834374E-3</c:v>
                </c:pt>
                <c:pt idx="3507">
                  <c:v>4.3282536407334097E-3</c:v>
                </c:pt>
                <c:pt idx="3508">
                  <c:v>5.405755074862446E-3</c:v>
                </c:pt>
                <c:pt idx="3509">
                  <c:v>4.3729700619622664E-3</c:v>
                </c:pt>
                <c:pt idx="3510">
                  <c:v>2.0809230506653714E-3</c:v>
                </c:pt>
                <c:pt idx="3511">
                  <c:v>3.6970031066957342E-3</c:v>
                </c:pt>
                <c:pt idx="3512">
                  <c:v>2.1915569031074702E-3</c:v>
                </c:pt>
                <c:pt idx="3513">
                  <c:v>2.183346765043222E-3</c:v>
                </c:pt>
                <c:pt idx="3514">
                  <c:v>1.8625978216400708E-3</c:v>
                </c:pt>
                <c:pt idx="3515">
                  <c:v>0.17211027635508377</c:v>
                </c:pt>
                <c:pt idx="3516">
                  <c:v>3.1165794787789769E-3</c:v>
                </c:pt>
                <c:pt idx="3517">
                  <c:v>3.8924574970778769E-3</c:v>
                </c:pt>
                <c:pt idx="3518">
                  <c:v>5.8383221111307912E-3</c:v>
                </c:pt>
                <c:pt idx="3519">
                  <c:v>6.0473774578252296E-3</c:v>
                </c:pt>
                <c:pt idx="3520">
                  <c:v>3.0825142071987484E-3</c:v>
                </c:pt>
                <c:pt idx="3521">
                  <c:v>2.5582621121363306E-3</c:v>
                </c:pt>
                <c:pt idx="3522">
                  <c:v>3.1212886705056883E-2</c:v>
                </c:pt>
                <c:pt idx="3523">
                  <c:v>3.5264468053244958E-3</c:v>
                </c:pt>
                <c:pt idx="3524">
                  <c:v>2.7896151237416442E-3</c:v>
                </c:pt>
                <c:pt idx="3525">
                  <c:v>3.9841271572968679E-3</c:v>
                </c:pt>
                <c:pt idx="3526">
                  <c:v>4.3553420225854933E-3</c:v>
                </c:pt>
                <c:pt idx="3527">
                  <c:v>2.2529119681566384E-3</c:v>
                </c:pt>
                <c:pt idx="3528">
                  <c:v>2.6843129897293583E-3</c:v>
                </c:pt>
                <c:pt idx="3529">
                  <c:v>5.5524217094917701E-3</c:v>
                </c:pt>
                <c:pt idx="3530">
                  <c:v>5.7723288323416689E-3</c:v>
                </c:pt>
                <c:pt idx="3531">
                  <c:v>4.1648275603287837E-3</c:v>
                </c:pt>
                <c:pt idx="3532">
                  <c:v>3.4717340052460737E-3</c:v>
                </c:pt>
                <c:pt idx="3533">
                  <c:v>2.4636999389847885E-3</c:v>
                </c:pt>
                <c:pt idx="3534">
                  <c:v>4.1975176965908011E-3</c:v>
                </c:pt>
                <c:pt idx="3535">
                  <c:v>2.368685239592834E-3</c:v>
                </c:pt>
                <c:pt idx="3536">
                  <c:v>2.8400993047943105E-3</c:v>
                </c:pt>
                <c:pt idx="3537">
                  <c:v>4.3901674596283505E-3</c:v>
                </c:pt>
                <c:pt idx="3538">
                  <c:v>5.4160490864059024E-3</c:v>
                </c:pt>
                <c:pt idx="3539">
                  <c:v>3.7038928627636655E-3</c:v>
                </c:pt>
                <c:pt idx="3540">
                  <c:v>5.4859561262423856E-3</c:v>
                </c:pt>
                <c:pt idx="3541">
                  <c:v>5.0925289193810312E-3</c:v>
                </c:pt>
                <c:pt idx="3542">
                  <c:v>2.2490235241189572E-3</c:v>
                </c:pt>
                <c:pt idx="3543">
                  <c:v>5.7993272948307761E-3</c:v>
                </c:pt>
                <c:pt idx="3544">
                  <c:v>2.8288811050361786E-3</c:v>
                </c:pt>
                <c:pt idx="3545">
                  <c:v>3.8834185952819579E-3</c:v>
                </c:pt>
                <c:pt idx="3546">
                  <c:v>6.1394498351290761E-3</c:v>
                </c:pt>
                <c:pt idx="3547">
                  <c:v>2.7283358400838746E-3</c:v>
                </c:pt>
                <c:pt idx="3548">
                  <c:v>3.1453305366835452E-2</c:v>
                </c:pt>
                <c:pt idx="3549">
                  <c:v>3.0329207443374109E-3</c:v>
                </c:pt>
                <c:pt idx="3550">
                  <c:v>2.6117950364026562E-3</c:v>
                </c:pt>
                <c:pt idx="3551">
                  <c:v>3.6509250531920963E-3</c:v>
                </c:pt>
                <c:pt idx="3552">
                  <c:v>3.1454681848445036E-3</c:v>
                </c:pt>
                <c:pt idx="3553">
                  <c:v>4.5036532081791526E-3</c:v>
                </c:pt>
                <c:pt idx="3554">
                  <c:v>1.8280015738924087E-3</c:v>
                </c:pt>
                <c:pt idx="3555">
                  <c:v>3.7478124884605659E-3</c:v>
                </c:pt>
                <c:pt idx="3556">
                  <c:v>4.7756403463517618E-3</c:v>
                </c:pt>
                <c:pt idx="3557">
                  <c:v>3.5725380669928176E-3</c:v>
                </c:pt>
                <c:pt idx="3558">
                  <c:v>4.1467609029965206E-3</c:v>
                </c:pt>
                <c:pt idx="3559">
                  <c:v>1.8444351352074021E-3</c:v>
                </c:pt>
                <c:pt idx="3560">
                  <c:v>4.3819987806479393E-3</c:v>
                </c:pt>
                <c:pt idx="3561">
                  <c:v>4.2990134911262299E-3</c:v>
                </c:pt>
                <c:pt idx="3562">
                  <c:v>2.4723366082449864E-3</c:v>
                </c:pt>
                <c:pt idx="3563">
                  <c:v>2.9902227049018342E-3</c:v>
                </c:pt>
                <c:pt idx="3564">
                  <c:v>4.1863345058279627E-3</c:v>
                </c:pt>
                <c:pt idx="3565">
                  <c:v>3.6380050952198807E-3</c:v>
                </c:pt>
                <c:pt idx="3566">
                  <c:v>4.0947075215354602E-3</c:v>
                </c:pt>
                <c:pt idx="3567">
                  <c:v>9.7979377203874507E-3</c:v>
                </c:pt>
                <c:pt idx="3568">
                  <c:v>2.5984124239503597E-3</c:v>
                </c:pt>
                <c:pt idx="3569">
                  <c:v>8.1498901125589308E-3</c:v>
                </c:pt>
                <c:pt idx="3570">
                  <c:v>6.7714385510810673E-3</c:v>
                </c:pt>
                <c:pt idx="3571">
                  <c:v>6.7637421228125298E-3</c:v>
                </c:pt>
                <c:pt idx="3572">
                  <c:v>5.8460349567372389E-3</c:v>
                </c:pt>
                <c:pt idx="3573">
                  <c:v>5.3928872173024823E-3</c:v>
                </c:pt>
                <c:pt idx="3574">
                  <c:v>8.1541522974978055E-3</c:v>
                </c:pt>
                <c:pt idx="3575">
                  <c:v>8.9619331171987976E-3</c:v>
                </c:pt>
                <c:pt idx="3576">
                  <c:v>6.4262479267871379E-3</c:v>
                </c:pt>
                <c:pt idx="3577">
                  <c:v>1.6637282637015378E-2</c:v>
                </c:pt>
                <c:pt idx="3578">
                  <c:v>1.6564967487433559E-2</c:v>
                </c:pt>
                <c:pt idx="3579">
                  <c:v>4.1420290352097225E-3</c:v>
                </c:pt>
                <c:pt idx="3580">
                  <c:v>4.9414130752022389E-3</c:v>
                </c:pt>
                <c:pt idx="3581">
                  <c:v>7.5694161406064005E-3</c:v>
                </c:pt>
                <c:pt idx="3582">
                  <c:v>2.792624515619006E-2</c:v>
                </c:pt>
                <c:pt idx="3583">
                  <c:v>1.2149398752137365E-2</c:v>
                </c:pt>
                <c:pt idx="3584">
                  <c:v>1.2048031695361306E-2</c:v>
                </c:pt>
                <c:pt idx="3585">
                  <c:v>4.8357724836238418E-3</c:v>
                </c:pt>
                <c:pt idx="3586">
                  <c:v>3.6479104307105331E-3</c:v>
                </c:pt>
                <c:pt idx="3587">
                  <c:v>3.1139923367232304E-3</c:v>
                </c:pt>
                <c:pt idx="3588">
                  <c:v>4.5908967068566432E-3</c:v>
                </c:pt>
                <c:pt idx="3589">
                  <c:v>4.0736262780471369E-3</c:v>
                </c:pt>
                <c:pt idx="3590">
                  <c:v>2.8310384736484114E-3</c:v>
                </c:pt>
                <c:pt idx="3591">
                  <c:v>3.2398820440954043E-3</c:v>
                </c:pt>
                <c:pt idx="3592">
                  <c:v>4.7086261558380556E-3</c:v>
                </c:pt>
                <c:pt idx="3593">
                  <c:v>1.1874733812171239E-3</c:v>
                </c:pt>
                <c:pt idx="3594">
                  <c:v>3.9169907108329051E-3</c:v>
                </c:pt>
                <c:pt idx="3595">
                  <c:v>2.670932611737033E-3</c:v>
                </c:pt>
                <c:pt idx="3596">
                  <c:v>4.8452210625535277E-3</c:v>
                </c:pt>
                <c:pt idx="3597">
                  <c:v>1.3966144841140995E-3</c:v>
                </c:pt>
                <c:pt idx="3598">
                  <c:v>5.4169069096875492E-3</c:v>
                </c:pt>
                <c:pt idx="3599">
                  <c:v>2.8409622312348393E-3</c:v>
                </c:pt>
                <c:pt idx="3600">
                  <c:v>5.3658634753417098E-3</c:v>
                </c:pt>
                <c:pt idx="3601">
                  <c:v>4.425419996040094E-3</c:v>
                </c:pt>
                <c:pt idx="3602">
                  <c:v>1.2004943530745077E-2</c:v>
                </c:pt>
                <c:pt idx="3603">
                  <c:v>2.9436382373364731E-3</c:v>
                </c:pt>
                <c:pt idx="3604">
                  <c:v>3.2338470689973874E-3</c:v>
                </c:pt>
                <c:pt idx="3605">
                  <c:v>2.8603776228621142E-3</c:v>
                </c:pt>
                <c:pt idx="3606">
                  <c:v>2.0191114014666486E-3</c:v>
                </c:pt>
                <c:pt idx="3607">
                  <c:v>2.3838026050354844E-3</c:v>
                </c:pt>
                <c:pt idx="3608">
                  <c:v>2.6471922168614741E-3</c:v>
                </c:pt>
                <c:pt idx="3609">
                  <c:v>2.3786195675924884E-3</c:v>
                </c:pt>
                <c:pt idx="3610">
                  <c:v>5.6621748553206796E-3</c:v>
                </c:pt>
                <c:pt idx="3611">
                  <c:v>2.2334693998078904E-3</c:v>
                </c:pt>
                <c:pt idx="3612">
                  <c:v>5.0826564782073501E-3</c:v>
                </c:pt>
                <c:pt idx="3613">
                  <c:v>3.3351373277082756E-3</c:v>
                </c:pt>
                <c:pt idx="3614">
                  <c:v>4.1588054247257804E-3</c:v>
                </c:pt>
                <c:pt idx="3615">
                  <c:v>6.3748950254245993E-3</c:v>
                </c:pt>
                <c:pt idx="3616">
                  <c:v>7.4891720858066106E-3</c:v>
                </c:pt>
                <c:pt idx="3617">
                  <c:v>6.3569200752956216E-3</c:v>
                </c:pt>
                <c:pt idx="3618">
                  <c:v>7.1988037683962652E-3</c:v>
                </c:pt>
                <c:pt idx="3619">
                  <c:v>9.8705393188568778E-3</c:v>
                </c:pt>
                <c:pt idx="3620">
                  <c:v>6.9308949580517394E-3</c:v>
                </c:pt>
                <c:pt idx="3621">
                  <c:v>6.6256108049328908E-3</c:v>
                </c:pt>
                <c:pt idx="3622">
                  <c:v>7.1676203329483932E-3</c:v>
                </c:pt>
                <c:pt idx="3623">
                  <c:v>9.1601356453767553E-3</c:v>
                </c:pt>
                <c:pt idx="3624">
                  <c:v>6.8821665041784406E-3</c:v>
                </c:pt>
                <c:pt idx="3625">
                  <c:v>6.956966709993905E-3</c:v>
                </c:pt>
                <c:pt idx="3626">
                  <c:v>7.7268733428013702E-3</c:v>
                </c:pt>
                <c:pt idx="3627">
                  <c:v>6.0966279016735044E-3</c:v>
                </c:pt>
                <c:pt idx="3628">
                  <c:v>3.7770897716005516E-3</c:v>
                </c:pt>
                <c:pt idx="3629">
                  <c:v>8.8206692497695641E-3</c:v>
                </c:pt>
                <c:pt idx="3630">
                  <c:v>8.4771042233202712E-3</c:v>
                </c:pt>
                <c:pt idx="3631">
                  <c:v>5.0169775700202781E-3</c:v>
                </c:pt>
                <c:pt idx="3632">
                  <c:v>4.710344597595147E-3</c:v>
                </c:pt>
                <c:pt idx="3633">
                  <c:v>2.7460300422511501E-3</c:v>
                </c:pt>
                <c:pt idx="3634">
                  <c:v>4.4774337566444947E-3</c:v>
                </c:pt>
                <c:pt idx="3635">
                  <c:v>4.7936808617645241E-3</c:v>
                </c:pt>
                <c:pt idx="3636">
                  <c:v>0.17054890035187636</c:v>
                </c:pt>
                <c:pt idx="3637">
                  <c:v>6.4733160860444717E-3</c:v>
                </c:pt>
                <c:pt idx="3638">
                  <c:v>2.7119146278600566E-2</c:v>
                </c:pt>
                <c:pt idx="3639">
                  <c:v>6.4078471685492478E-3</c:v>
                </c:pt>
                <c:pt idx="3640">
                  <c:v>6.8295849344852189E-3</c:v>
                </c:pt>
                <c:pt idx="3641">
                  <c:v>1.0560285642613907E-2</c:v>
                </c:pt>
                <c:pt idx="3642">
                  <c:v>7.3166825528617162E-3</c:v>
                </c:pt>
                <c:pt idx="3643">
                  <c:v>7.0984107376296512E-3</c:v>
                </c:pt>
                <c:pt idx="3644">
                  <c:v>8.9470430085197474E-3</c:v>
                </c:pt>
                <c:pt idx="3645">
                  <c:v>6.4510663192347368E-3</c:v>
                </c:pt>
                <c:pt idx="3646">
                  <c:v>6.6469962361623194E-3</c:v>
                </c:pt>
                <c:pt idx="3647">
                  <c:v>1.5208390477259538E-3</c:v>
                </c:pt>
                <c:pt idx="3648">
                  <c:v>1.8150272704317981E-3</c:v>
                </c:pt>
                <c:pt idx="3649">
                  <c:v>2.2036557710445634E-3</c:v>
                </c:pt>
                <c:pt idx="3650">
                  <c:v>3.3006581896476155E-3</c:v>
                </c:pt>
                <c:pt idx="3651">
                  <c:v>2.8901462043228604E-3</c:v>
                </c:pt>
                <c:pt idx="3652">
                  <c:v>3.8606052922708738E-3</c:v>
                </c:pt>
                <c:pt idx="3653">
                  <c:v>6.4827291057860271E-3</c:v>
                </c:pt>
                <c:pt idx="3654">
                  <c:v>2.6804284063286941E-3</c:v>
                </c:pt>
                <c:pt idx="3655">
                  <c:v>6.6089294375112368E-3</c:v>
                </c:pt>
                <c:pt idx="3656">
                  <c:v>9.1541823807460478E-3</c:v>
                </c:pt>
                <c:pt idx="3657">
                  <c:v>3.6608300940136687E-3</c:v>
                </c:pt>
                <c:pt idx="3658">
                  <c:v>2.8482970367528795E-3</c:v>
                </c:pt>
                <c:pt idx="3659">
                  <c:v>3.8136836002532191E-3</c:v>
                </c:pt>
                <c:pt idx="3660">
                  <c:v>4.452932182685534E-3</c:v>
                </c:pt>
                <c:pt idx="3661">
                  <c:v>3.0661274285599246E-3</c:v>
                </c:pt>
                <c:pt idx="3662">
                  <c:v>3.280400419465525E-3</c:v>
                </c:pt>
                <c:pt idx="3663">
                  <c:v>2.2611207912403642E-3</c:v>
                </c:pt>
                <c:pt idx="3664">
                  <c:v>5.9531436521364448E-3</c:v>
                </c:pt>
                <c:pt idx="3665">
                  <c:v>5.2405886127089678E-3</c:v>
                </c:pt>
                <c:pt idx="3666">
                  <c:v>5.6493145931787976E-3</c:v>
                </c:pt>
                <c:pt idx="3667">
                  <c:v>9.391824332407657E-3</c:v>
                </c:pt>
                <c:pt idx="3668">
                  <c:v>6.167709998414676E-3</c:v>
                </c:pt>
                <c:pt idx="3669">
                  <c:v>6.0606542142963649E-3</c:v>
                </c:pt>
                <c:pt idx="3670">
                  <c:v>6.445503699418517E-3</c:v>
                </c:pt>
                <c:pt idx="3671">
                  <c:v>9.9630781469573822E-3</c:v>
                </c:pt>
                <c:pt idx="3672">
                  <c:v>3.8386517371669488E-3</c:v>
                </c:pt>
                <c:pt idx="3673">
                  <c:v>7.6095326087180105E-3</c:v>
                </c:pt>
                <c:pt idx="3674">
                  <c:v>6.9052490849149523E-3</c:v>
                </c:pt>
                <c:pt idx="3675">
                  <c:v>5.4216249074496257E-3</c:v>
                </c:pt>
                <c:pt idx="3676">
                  <c:v>4.6609366844601961E-3</c:v>
                </c:pt>
                <c:pt idx="3677">
                  <c:v>5.6343104726881438E-3</c:v>
                </c:pt>
                <c:pt idx="3678">
                  <c:v>5.7328994908189962E-3</c:v>
                </c:pt>
                <c:pt idx="3679">
                  <c:v>3.7667568382123173E-3</c:v>
                </c:pt>
                <c:pt idx="3680">
                  <c:v>4.3708203393711441E-3</c:v>
                </c:pt>
                <c:pt idx="3681">
                  <c:v>4.2181628307004122E-3</c:v>
                </c:pt>
                <c:pt idx="3682">
                  <c:v>3.946686957579811E-3</c:v>
                </c:pt>
                <c:pt idx="3683">
                  <c:v>4.5032233938667706E-3</c:v>
                </c:pt>
                <c:pt idx="3684">
                  <c:v>5.7410428003173411E-3</c:v>
                </c:pt>
                <c:pt idx="3685">
                  <c:v>5.9856994603902994E-3</c:v>
                </c:pt>
                <c:pt idx="3686">
                  <c:v>5.5862938033994728E-3</c:v>
                </c:pt>
                <c:pt idx="3687">
                  <c:v>4.6403125883436912E-3</c:v>
                </c:pt>
                <c:pt idx="3688">
                  <c:v>2.9117163652042097E-3</c:v>
                </c:pt>
                <c:pt idx="3689">
                  <c:v>4.1686988891206887E-3</c:v>
                </c:pt>
                <c:pt idx="3690">
                  <c:v>7.8808616140704953E-3</c:v>
                </c:pt>
                <c:pt idx="3691">
                  <c:v>5.9210138170932751E-3</c:v>
                </c:pt>
                <c:pt idx="3692">
                  <c:v>5.8743142187781131E-3</c:v>
                </c:pt>
                <c:pt idx="3693">
                  <c:v>3.4036564889865228E-3</c:v>
                </c:pt>
                <c:pt idx="3694">
                  <c:v>4.4168220802757886E-3</c:v>
                </c:pt>
                <c:pt idx="3695">
                  <c:v>3.9212946405292083E-3</c:v>
                </c:pt>
                <c:pt idx="3696">
                  <c:v>5.1826582222044637E-3</c:v>
                </c:pt>
                <c:pt idx="3697">
                  <c:v>7.4195867806996375E-3</c:v>
                </c:pt>
                <c:pt idx="3698">
                  <c:v>6.6294602602705588E-3</c:v>
                </c:pt>
                <c:pt idx="3699">
                  <c:v>3.0639712274447878E-3</c:v>
                </c:pt>
                <c:pt idx="3700">
                  <c:v>3.2265187722045922E-3</c:v>
                </c:pt>
                <c:pt idx="3701">
                  <c:v>3.5772761437206E-3</c:v>
                </c:pt>
                <c:pt idx="3702">
                  <c:v>8.809604476417026E-3</c:v>
                </c:pt>
                <c:pt idx="3703">
                  <c:v>5.4593670445015272E-3</c:v>
                </c:pt>
                <c:pt idx="3704">
                  <c:v>1.1057190865394785E-2</c:v>
                </c:pt>
                <c:pt idx="3705">
                  <c:v>7.8748907873075723E-3</c:v>
                </c:pt>
                <c:pt idx="3706">
                  <c:v>2.6195653963328172E-3</c:v>
                </c:pt>
                <c:pt idx="3707">
                  <c:v>4.753303431792249E-3</c:v>
                </c:pt>
                <c:pt idx="3708">
                  <c:v>3.9643315917598457E-3</c:v>
                </c:pt>
                <c:pt idx="3709">
                  <c:v>4.0369309072524756E-2</c:v>
                </c:pt>
                <c:pt idx="3710">
                  <c:v>2.8560631663991391E-3</c:v>
                </c:pt>
                <c:pt idx="3711">
                  <c:v>3.5501391863123908E-3</c:v>
                </c:pt>
                <c:pt idx="3712">
                  <c:v>5.3225361894237338E-3</c:v>
                </c:pt>
                <c:pt idx="3713">
                  <c:v>8.415344393751141E-3</c:v>
                </c:pt>
                <c:pt idx="3714">
                  <c:v>5.3701530704662421E-3</c:v>
                </c:pt>
                <c:pt idx="3715">
                  <c:v>6.8069258726048505E-3</c:v>
                </c:pt>
                <c:pt idx="3716">
                  <c:v>6.6867703375462469E-3</c:v>
                </c:pt>
                <c:pt idx="3717">
                  <c:v>6.3320963019863445E-3</c:v>
                </c:pt>
                <c:pt idx="3718">
                  <c:v>4.3424430038519826E-3</c:v>
                </c:pt>
                <c:pt idx="3719">
                  <c:v>5.9055906519144873E-3</c:v>
                </c:pt>
                <c:pt idx="3720">
                  <c:v>9.3552724949320567E-3</c:v>
                </c:pt>
                <c:pt idx="3721">
                  <c:v>4.3746898323738263E-3</c:v>
                </c:pt>
                <c:pt idx="3722">
                  <c:v>5.9073043639828009E-3</c:v>
                </c:pt>
                <c:pt idx="3723">
                  <c:v>5.708897269283756E-3</c:v>
                </c:pt>
                <c:pt idx="3724">
                  <c:v>4.6128122699030678E-3</c:v>
                </c:pt>
                <c:pt idx="3725">
                  <c:v>1.180507683252293E-2</c:v>
                </c:pt>
                <c:pt idx="3726">
                  <c:v>2.6702781962064017E-2</c:v>
                </c:pt>
                <c:pt idx="3727">
                  <c:v>2.5129653457865629E-2</c:v>
                </c:pt>
                <c:pt idx="3728">
                  <c:v>2.1880311299188264E-2</c:v>
                </c:pt>
                <c:pt idx="3729">
                  <c:v>2.0539853680417625E-2</c:v>
                </c:pt>
                <c:pt idx="3730">
                  <c:v>1.9164912083503481E-2</c:v>
                </c:pt>
                <c:pt idx="3731">
                  <c:v>2.0893050576546755E-2</c:v>
                </c:pt>
                <c:pt idx="3732">
                  <c:v>1.1405913357149012E-2</c:v>
                </c:pt>
                <c:pt idx="3733">
                  <c:v>9.9872708275940067E-3</c:v>
                </c:pt>
                <c:pt idx="3734">
                  <c:v>1.1112649693254231E-2</c:v>
                </c:pt>
                <c:pt idx="3735">
                  <c:v>8.7653425637548594E-3</c:v>
                </c:pt>
                <c:pt idx="3736">
                  <c:v>8.2534493667597627E-3</c:v>
                </c:pt>
                <c:pt idx="3737">
                  <c:v>7.0676473768607308E-3</c:v>
                </c:pt>
                <c:pt idx="3738">
                  <c:v>6.5725703908893649E-3</c:v>
                </c:pt>
                <c:pt idx="3739">
                  <c:v>7.2128996550684362E-3</c:v>
                </c:pt>
                <c:pt idx="3740">
                  <c:v>1.0135792838841987E-2</c:v>
                </c:pt>
                <c:pt idx="3741">
                  <c:v>4.5393263133156085E-3</c:v>
                </c:pt>
                <c:pt idx="3742">
                  <c:v>4.4886094541374509E-3</c:v>
                </c:pt>
                <c:pt idx="3743">
                  <c:v>3.7267143990806027E-3</c:v>
                </c:pt>
                <c:pt idx="3744">
                  <c:v>2.9479518238854211E-3</c:v>
                </c:pt>
                <c:pt idx="3745">
                  <c:v>3.9337757954533851E-3</c:v>
                </c:pt>
                <c:pt idx="3746">
                  <c:v>4.5758559746369911E-3</c:v>
                </c:pt>
                <c:pt idx="3747">
                  <c:v>4.2018188471301069E-3</c:v>
                </c:pt>
                <c:pt idx="3748">
                  <c:v>5.1981070819143056E-3</c:v>
                </c:pt>
                <c:pt idx="3749">
                  <c:v>3.0958819107867984E-3</c:v>
                </c:pt>
                <c:pt idx="3750">
                  <c:v>3.7013092170468868E-3</c:v>
                </c:pt>
                <c:pt idx="3751">
                  <c:v>6.7248303141937528E-3</c:v>
                </c:pt>
                <c:pt idx="3752">
                  <c:v>4.8774305822526336E-3</c:v>
                </c:pt>
                <c:pt idx="3753">
                  <c:v>5.8580324443147907E-3</c:v>
                </c:pt>
                <c:pt idx="3754">
                  <c:v>4.3230937573827954E-3</c:v>
                </c:pt>
                <c:pt idx="3755">
                  <c:v>4.1299840481964179E-3</c:v>
                </c:pt>
                <c:pt idx="3756">
                  <c:v>3.2760901336818114E-3</c:v>
                </c:pt>
                <c:pt idx="3757">
                  <c:v>3.3023822115639408E-3</c:v>
                </c:pt>
                <c:pt idx="3758">
                  <c:v>2.8905776180396343E-3</c:v>
                </c:pt>
                <c:pt idx="3759">
                  <c:v>4.5290114997181352E-3</c:v>
                </c:pt>
                <c:pt idx="3760">
                  <c:v>6.9817547931301889E-3</c:v>
                </c:pt>
                <c:pt idx="3761">
                  <c:v>6.2195155221471659E-3</c:v>
                </c:pt>
                <c:pt idx="3762">
                  <c:v>7.9111409717824675E-3</c:v>
                </c:pt>
                <c:pt idx="3763">
                  <c:v>6.8565177532920749E-3</c:v>
                </c:pt>
                <c:pt idx="3764">
                  <c:v>6.5135339258339791E-3</c:v>
                </c:pt>
                <c:pt idx="3765">
                  <c:v>3.0695636622747543E-2</c:v>
                </c:pt>
                <c:pt idx="3766">
                  <c:v>7.5711159354415664E-2</c:v>
                </c:pt>
                <c:pt idx="3767">
                  <c:v>6.6936128264589679E-3</c:v>
                </c:pt>
                <c:pt idx="3768">
                  <c:v>7.0133789142066416E-3</c:v>
                </c:pt>
                <c:pt idx="3769">
                  <c:v>4.5040830220661552E-3</c:v>
                </c:pt>
                <c:pt idx="3770">
                  <c:v>4.853810501383218E-3</c:v>
                </c:pt>
                <c:pt idx="3771">
                  <c:v>1.1643595123996589E-2</c:v>
                </c:pt>
                <c:pt idx="3772">
                  <c:v>1.172180711434309E-2</c:v>
                </c:pt>
                <c:pt idx="3773">
                  <c:v>5.1745044357929624E-3</c:v>
                </c:pt>
                <c:pt idx="3774">
                  <c:v>1.5494298783340077E-2</c:v>
                </c:pt>
                <c:pt idx="3775">
                  <c:v>1.484257007694832E-2</c:v>
                </c:pt>
                <c:pt idx="3776">
                  <c:v>4.7429936991173665E-3</c:v>
                </c:pt>
                <c:pt idx="3777">
                  <c:v>4.398335984966327E-3</c:v>
                </c:pt>
                <c:pt idx="3778">
                  <c:v>6.3945810219864846E-3</c:v>
                </c:pt>
                <c:pt idx="3779">
                  <c:v>5.1770793322507358E-3</c:v>
                </c:pt>
                <c:pt idx="3780">
                  <c:v>5.3538523835851134E-3</c:v>
                </c:pt>
                <c:pt idx="3781">
                  <c:v>3.3894364199544623E-3</c:v>
                </c:pt>
                <c:pt idx="3782">
                  <c:v>9.5698642919466795E-3</c:v>
                </c:pt>
                <c:pt idx="3783">
                  <c:v>4.2319257082317477E-3</c:v>
                </c:pt>
                <c:pt idx="3784">
                  <c:v>4.4653980684872009E-3</c:v>
                </c:pt>
                <c:pt idx="3785">
                  <c:v>4.9186552820021335E-3</c:v>
                </c:pt>
                <c:pt idx="3786">
                  <c:v>2.837079048749947E-3</c:v>
                </c:pt>
                <c:pt idx="3787">
                  <c:v>3.7452291040120226E-3</c:v>
                </c:pt>
                <c:pt idx="3788">
                  <c:v>4.8194517267301411E-3</c:v>
                </c:pt>
                <c:pt idx="3789">
                  <c:v>4.7154998820692047E-3</c:v>
                </c:pt>
                <c:pt idx="3790">
                  <c:v>2.4619725845219536E-3</c:v>
                </c:pt>
                <c:pt idx="3791">
                  <c:v>7.6539124687171368E-3</c:v>
                </c:pt>
                <c:pt idx="3792">
                  <c:v>2.630789004128802E-3</c:v>
                </c:pt>
                <c:pt idx="3793">
                  <c:v>3.8821273082395424E-3</c:v>
                </c:pt>
                <c:pt idx="3794">
                  <c:v>4.5062320851206889E-3</c:v>
                </c:pt>
                <c:pt idx="3795">
                  <c:v>5.4709463608411425E-3</c:v>
                </c:pt>
                <c:pt idx="3796">
                  <c:v>3.02774544797965E-3</c:v>
                </c:pt>
                <c:pt idx="3797">
                  <c:v>3.5833063484328139E-3</c:v>
                </c:pt>
                <c:pt idx="3798">
                  <c:v>6.1681381685648965E-3</c:v>
                </c:pt>
                <c:pt idx="3799">
                  <c:v>1.5892123210768368E-3</c:v>
                </c:pt>
                <c:pt idx="3800">
                  <c:v>0.23618948516461227</c:v>
                </c:pt>
                <c:pt idx="3801">
                  <c:v>7.5859249151662353E-2</c:v>
                </c:pt>
                <c:pt idx="3802">
                  <c:v>2.5150855919654005E-3</c:v>
                </c:pt>
                <c:pt idx="3803">
                  <c:v>2.6359690329763054E-3</c:v>
                </c:pt>
                <c:pt idx="3804">
                  <c:v>1.9162165597662547E-3</c:v>
                </c:pt>
                <c:pt idx="3805">
                  <c:v>4.9079200599430025E-3</c:v>
                </c:pt>
                <c:pt idx="3806">
                  <c:v>4.0684633685458662E-3</c:v>
                </c:pt>
                <c:pt idx="3807">
                  <c:v>4.8422147188282054E-3</c:v>
                </c:pt>
                <c:pt idx="3808">
                  <c:v>6.5678648800429765E-3</c:v>
                </c:pt>
                <c:pt idx="3809">
                  <c:v>5.666890189358737E-3</c:v>
                </c:pt>
                <c:pt idx="3810">
                  <c:v>9.0908175791534953E-3</c:v>
                </c:pt>
                <c:pt idx="3811">
                  <c:v>7.3862843465426027E-3</c:v>
                </c:pt>
                <c:pt idx="3812">
                  <c:v>9.4552180064113742E-2</c:v>
                </c:pt>
                <c:pt idx="3813">
                  <c:v>1.1362338355725766E-2</c:v>
                </c:pt>
                <c:pt idx="3814">
                  <c:v>1.1667694373729892E-2</c:v>
                </c:pt>
                <c:pt idx="3815">
                  <c:v>8.6789337167131001E-3</c:v>
                </c:pt>
                <c:pt idx="3816">
                  <c:v>5.5605684037396868E-3</c:v>
                </c:pt>
                <c:pt idx="3817">
                  <c:v>5.5061112809230272E-3</c:v>
                </c:pt>
                <c:pt idx="3818">
                  <c:v>5.6793212791506863E-3</c:v>
                </c:pt>
                <c:pt idx="3819">
                  <c:v>5.3126689754816429E-3</c:v>
                </c:pt>
                <c:pt idx="3820">
                  <c:v>8.579733893639075E-3</c:v>
                </c:pt>
                <c:pt idx="3821">
                  <c:v>5.4349208072104853E-3</c:v>
                </c:pt>
                <c:pt idx="3822">
                  <c:v>7.3585303672124144E-3</c:v>
                </c:pt>
                <c:pt idx="3823">
                  <c:v>7.4712431961639E-3</c:v>
                </c:pt>
                <c:pt idx="3824">
                  <c:v>8.1473327815174516E-3</c:v>
                </c:pt>
                <c:pt idx="3825">
                  <c:v>8.1319884790261726E-3</c:v>
                </c:pt>
                <c:pt idx="3826">
                  <c:v>7.9495202223497114E-3</c:v>
                </c:pt>
                <c:pt idx="3827">
                  <c:v>5.5095418523945835E-3</c:v>
                </c:pt>
                <c:pt idx="3828">
                  <c:v>5.4130466915769514E-3</c:v>
                </c:pt>
                <c:pt idx="3829">
                  <c:v>6.3222519989710926E-3</c:v>
                </c:pt>
                <c:pt idx="3830">
                  <c:v>1.2598929844269592E-2</c:v>
                </c:pt>
                <c:pt idx="3831">
                  <c:v>5.0581890262543384E-3</c:v>
                </c:pt>
                <c:pt idx="3832">
                  <c:v>3.7267143990806027E-3</c:v>
                </c:pt>
                <c:pt idx="3833">
                  <c:v>5.2259994645657698E-3</c:v>
                </c:pt>
                <c:pt idx="3834">
                  <c:v>7.4934407599640419E-3</c:v>
                </c:pt>
                <c:pt idx="3835">
                  <c:v>6.0349568988292881E-3</c:v>
                </c:pt>
                <c:pt idx="3836">
                  <c:v>7.386711316986953E-3</c:v>
                </c:pt>
                <c:pt idx="3837">
                  <c:v>7.0898655782216363E-3</c:v>
                </c:pt>
                <c:pt idx="3838">
                  <c:v>4.7601764509429467E-3</c:v>
                </c:pt>
                <c:pt idx="3839">
                  <c:v>3.9303327540596142E-3</c:v>
                </c:pt>
                <c:pt idx="3840">
                  <c:v>5.4349208072104853E-3</c:v>
                </c:pt>
                <c:pt idx="3841">
                  <c:v>6.0366701004995775E-3</c:v>
                </c:pt>
                <c:pt idx="3842">
                  <c:v>5.5820063426105428E-3</c:v>
                </c:pt>
                <c:pt idx="3843">
                  <c:v>4.079649594892691E-3</c:v>
                </c:pt>
                <c:pt idx="3844">
                  <c:v>4.507091707364891E-3</c:v>
                </c:pt>
                <c:pt idx="3845">
                  <c:v>7.0082508347881455E-3</c:v>
                </c:pt>
                <c:pt idx="3846">
                  <c:v>4.4404659390558611E-3</c:v>
                </c:pt>
                <c:pt idx="3847">
                  <c:v>4.9272432685933025E-3</c:v>
                </c:pt>
                <c:pt idx="3848">
                  <c:v>5.2577516889799215E-3</c:v>
                </c:pt>
                <c:pt idx="3849">
                  <c:v>2.8724578729402324E-3</c:v>
                </c:pt>
                <c:pt idx="3850">
                  <c:v>2.7214305900171891E-3</c:v>
                </c:pt>
                <c:pt idx="3851">
                  <c:v>2.615680233746016E-3</c:v>
                </c:pt>
                <c:pt idx="3852">
                  <c:v>3.8692142266449105E-3</c:v>
                </c:pt>
                <c:pt idx="3853">
                  <c:v>7.8028079013410384E-3</c:v>
                </c:pt>
                <c:pt idx="3854">
                  <c:v>2.5216948707837535E-2</c:v>
                </c:pt>
                <c:pt idx="3855">
                  <c:v>2.1864618679746196E-2</c:v>
                </c:pt>
                <c:pt idx="3856">
                  <c:v>1.142960278546085E-2</c:v>
                </c:pt>
                <c:pt idx="3857">
                  <c:v>1.0464482365400823E-2</c:v>
                </c:pt>
                <c:pt idx="3858">
                  <c:v>1.6772266563594432E-2</c:v>
                </c:pt>
                <c:pt idx="3859">
                  <c:v>9.1745932340242514E-3</c:v>
                </c:pt>
                <c:pt idx="3860">
                  <c:v>1.0506875802802408E-2</c:v>
                </c:pt>
                <c:pt idx="3861">
                  <c:v>1.0449219714844686E-2</c:v>
                </c:pt>
                <c:pt idx="3862">
                  <c:v>7.8228558221122759E-3</c:v>
                </c:pt>
                <c:pt idx="3863">
                  <c:v>8.5026574460716261E-3</c:v>
                </c:pt>
                <c:pt idx="3864">
                  <c:v>1.0247363107955713E-2</c:v>
                </c:pt>
                <c:pt idx="3865">
                  <c:v>1.1713352443055172E-2</c:v>
                </c:pt>
                <c:pt idx="3866">
                  <c:v>1.1086826234635286E-2</c:v>
                </c:pt>
                <c:pt idx="3867">
                  <c:v>6.7462108603567232E-3</c:v>
                </c:pt>
                <c:pt idx="3868">
                  <c:v>5.8640310638184154E-3</c:v>
                </c:pt>
                <c:pt idx="3869">
                  <c:v>1.4366786418741031E-2</c:v>
                </c:pt>
                <c:pt idx="3870">
                  <c:v>4.9031964781691868E-3</c:v>
                </c:pt>
                <c:pt idx="3871">
                  <c:v>3.6948500355091915E-3</c:v>
                </c:pt>
                <c:pt idx="3872">
                  <c:v>3.9045090735072485E-3</c:v>
                </c:pt>
                <c:pt idx="3873">
                  <c:v>3.2907449308125368E-3</c:v>
                </c:pt>
                <c:pt idx="3874">
                  <c:v>4.6115231497486954E-3</c:v>
                </c:pt>
                <c:pt idx="3875">
                  <c:v>5.2762012395137382E-3</c:v>
                </c:pt>
                <c:pt idx="3876">
                  <c:v>4.6377345074628653E-3</c:v>
                </c:pt>
                <c:pt idx="3877">
                  <c:v>3.0674211440905172E-3</c:v>
                </c:pt>
                <c:pt idx="3878">
                  <c:v>3.7168108607985731E-3</c:v>
                </c:pt>
                <c:pt idx="3879">
                  <c:v>5.4868138114540256E-3</c:v>
                </c:pt>
                <c:pt idx="3880">
                  <c:v>7.5113687332717246E-3</c:v>
                </c:pt>
                <c:pt idx="3881">
                  <c:v>4.5904669788791284E-3</c:v>
                </c:pt>
                <c:pt idx="3882">
                  <c:v>3.3868509028331505E-3</c:v>
                </c:pt>
                <c:pt idx="3883">
                  <c:v>5.7350424818068072E-3</c:v>
                </c:pt>
                <c:pt idx="3884">
                  <c:v>6.9048216408651485E-3</c:v>
                </c:pt>
                <c:pt idx="3885">
                  <c:v>7.2966112519357341E-3</c:v>
                </c:pt>
                <c:pt idx="3886">
                  <c:v>1.4147959081799212E-3</c:v>
                </c:pt>
                <c:pt idx="3887">
                  <c:v>7.0599561961672474E-3</c:v>
                </c:pt>
                <c:pt idx="3888">
                  <c:v>6.772293701358293E-3</c:v>
                </c:pt>
                <c:pt idx="3889">
                  <c:v>5.8464634441435332E-3</c:v>
                </c:pt>
                <c:pt idx="3890">
                  <c:v>3.2614348420242304E-3</c:v>
                </c:pt>
                <c:pt idx="3891">
                  <c:v>3.6392971083134182E-3</c:v>
                </c:pt>
                <c:pt idx="3892">
                  <c:v>2.5012681988840378E-3</c:v>
                </c:pt>
                <c:pt idx="3893">
                  <c:v>2.5798487626384841E-3</c:v>
                </c:pt>
                <c:pt idx="3894">
                  <c:v>2.4023746479371237E-3</c:v>
                </c:pt>
                <c:pt idx="3895">
                  <c:v>1.6562769096184586E-3</c:v>
                </c:pt>
                <c:pt idx="3896">
                  <c:v>2.0982114480034516E-3</c:v>
                </c:pt>
                <c:pt idx="3897">
                  <c:v>3.1618519701316046E-3</c:v>
                </c:pt>
                <c:pt idx="3898">
                  <c:v>2.7395566372796351E-3</c:v>
                </c:pt>
                <c:pt idx="3899">
                  <c:v>3.6022578753058263E-3</c:v>
                </c:pt>
                <c:pt idx="3900">
                  <c:v>3.2316917004241476E-3</c:v>
                </c:pt>
                <c:pt idx="3901">
                  <c:v>3.4579470156109659E-3</c:v>
                </c:pt>
                <c:pt idx="3902">
                  <c:v>4.8078550267378218E-3</c:v>
                </c:pt>
                <c:pt idx="3903">
                  <c:v>5.3937450863348847E-3</c:v>
                </c:pt>
                <c:pt idx="3904">
                  <c:v>4.9980876788809974E-3</c:v>
                </c:pt>
                <c:pt idx="3905">
                  <c:v>6.6149176944088938E-3</c:v>
                </c:pt>
                <c:pt idx="3906">
                  <c:v>8.6546680423044038E-3</c:v>
                </c:pt>
                <c:pt idx="3907">
                  <c:v>5.9638530689460345E-3</c:v>
                </c:pt>
                <c:pt idx="3908">
                  <c:v>4.2805223804120666E-3</c:v>
                </c:pt>
                <c:pt idx="3909">
                  <c:v>4.6149607949904073E-3</c:v>
                </c:pt>
                <c:pt idx="3910">
                  <c:v>8.5814370860650725E-3</c:v>
                </c:pt>
                <c:pt idx="3911">
                  <c:v>0.12939532262216877</c:v>
                </c:pt>
                <c:pt idx="3912">
                  <c:v>6.6688082912116226E-3</c:v>
                </c:pt>
                <c:pt idx="3913">
                  <c:v>7.2799556384148941E-3</c:v>
                </c:pt>
                <c:pt idx="3914">
                  <c:v>9.3301944550097608E-3</c:v>
                </c:pt>
                <c:pt idx="3915">
                  <c:v>6.9548297400328762E-3</c:v>
                </c:pt>
                <c:pt idx="3916">
                  <c:v>5.9625679528726074E-3</c:v>
                </c:pt>
                <c:pt idx="3917">
                  <c:v>5.5481339142945015E-3</c:v>
                </c:pt>
                <c:pt idx="3918">
                  <c:v>1.0379259035873979E-2</c:v>
                </c:pt>
                <c:pt idx="3919">
                  <c:v>4.3254968480934901E-2</c:v>
                </c:pt>
                <c:pt idx="3920">
                  <c:v>3.842525974590256E-3</c:v>
                </c:pt>
                <c:pt idx="3921">
                  <c:v>5.0732130636042634E-3</c:v>
                </c:pt>
                <c:pt idx="3922">
                  <c:v>3.2286741664507481E-3</c:v>
                </c:pt>
                <c:pt idx="3923">
                  <c:v>4.767049361324948E-3</c:v>
                </c:pt>
                <c:pt idx="3924">
                  <c:v>8.5196920926593825E-3</c:v>
                </c:pt>
                <c:pt idx="3925">
                  <c:v>7.090720101728544E-3</c:v>
                </c:pt>
                <c:pt idx="3926">
                  <c:v>6.1514392199007225E-3</c:v>
                </c:pt>
                <c:pt idx="3927">
                  <c:v>5.5172605391273812E-3</c:v>
                </c:pt>
                <c:pt idx="3928">
                  <c:v>5.7603289769152695E-3</c:v>
                </c:pt>
                <c:pt idx="3929">
                  <c:v>5.1354499677883159E-3</c:v>
                </c:pt>
                <c:pt idx="3930">
                  <c:v>8.2602672166593918E-3</c:v>
                </c:pt>
                <c:pt idx="3931">
                  <c:v>7.3423041423306846E-3</c:v>
                </c:pt>
                <c:pt idx="3932">
                  <c:v>9.1648131531948812E-3</c:v>
                </c:pt>
                <c:pt idx="3933">
                  <c:v>6.3727551894204679E-3</c:v>
                </c:pt>
                <c:pt idx="3934">
                  <c:v>4.6214063064785541E-3</c:v>
                </c:pt>
                <c:pt idx="3935">
                  <c:v>7.6961544687204281E-3</c:v>
                </c:pt>
                <c:pt idx="3936">
                  <c:v>4.9538649478473923E-3</c:v>
                </c:pt>
                <c:pt idx="3937">
                  <c:v>1.0845027242002701E-2</c:v>
                </c:pt>
                <c:pt idx="3938">
                  <c:v>1.1403375127472829E-2</c:v>
                </c:pt>
                <c:pt idx="3939">
                  <c:v>1.0554775407460701E-2</c:v>
                </c:pt>
                <c:pt idx="3940">
                  <c:v>1.1578055313119492E-2</c:v>
                </c:pt>
                <c:pt idx="3941">
                  <c:v>1.1151593644856688E-2</c:v>
                </c:pt>
                <c:pt idx="3942">
                  <c:v>1.0511114918949613E-2</c:v>
                </c:pt>
                <c:pt idx="3943">
                  <c:v>8.2346997276372246E-3</c:v>
                </c:pt>
                <c:pt idx="3944">
                  <c:v>1.1682914263522897E-2</c:v>
                </c:pt>
                <c:pt idx="3945">
                  <c:v>9.9125662765607806E-3</c:v>
                </c:pt>
                <c:pt idx="3946">
                  <c:v>7.2679973681062868E-3</c:v>
                </c:pt>
                <c:pt idx="3947">
                  <c:v>7.3256502811178117E-3</c:v>
                </c:pt>
                <c:pt idx="3948">
                  <c:v>9.8836997126776072E-3</c:v>
                </c:pt>
                <c:pt idx="3949">
                  <c:v>7.4426408161835378E-3</c:v>
                </c:pt>
                <c:pt idx="3950">
                  <c:v>7.0360272073603583E-3</c:v>
                </c:pt>
                <c:pt idx="3951">
                  <c:v>5.0787932879614453E-3</c:v>
                </c:pt>
                <c:pt idx="3952">
                  <c:v>7.6517789253744729E-3</c:v>
                </c:pt>
                <c:pt idx="3953">
                  <c:v>8.5018056962027026E-3</c:v>
                </c:pt>
                <c:pt idx="3954">
                  <c:v>7.2521948630039253E-3</c:v>
                </c:pt>
                <c:pt idx="3955">
                  <c:v>7.6632999349084529E-3</c:v>
                </c:pt>
                <c:pt idx="3956">
                  <c:v>9.5065601149311625E-3</c:v>
                </c:pt>
                <c:pt idx="3957">
                  <c:v>1.2991940905290121E-2</c:v>
                </c:pt>
                <c:pt idx="3958">
                  <c:v>1.2341086748490665E-2</c:v>
                </c:pt>
                <c:pt idx="3959">
                  <c:v>1.487320729183219E-2</c:v>
                </c:pt>
                <c:pt idx="3960">
                  <c:v>1.0854769558827075E-2</c:v>
                </c:pt>
                <c:pt idx="3961">
                  <c:v>9.8544066791442248E-3</c:v>
                </c:pt>
                <c:pt idx="3962">
                  <c:v>1.1539572493103297E-2</c:v>
                </c:pt>
                <c:pt idx="3963">
                  <c:v>1.1765768752011158E-2</c:v>
                </c:pt>
                <c:pt idx="3964">
                  <c:v>1.2717460976927997E-2</c:v>
                </c:pt>
                <c:pt idx="3965">
                  <c:v>1.0298260173678565E-2</c:v>
                </c:pt>
                <c:pt idx="3966">
                  <c:v>7.6125198570346731E-3</c:v>
                </c:pt>
                <c:pt idx="3967">
                  <c:v>5.191240989889042E-3</c:v>
                </c:pt>
                <c:pt idx="3968">
                  <c:v>8.5460944744854862E-3</c:v>
                </c:pt>
                <c:pt idx="3969">
                  <c:v>6.753480006282021E-3</c:v>
                </c:pt>
                <c:pt idx="3970">
                  <c:v>7.6568994117884029E-3</c:v>
                </c:pt>
                <c:pt idx="3971">
                  <c:v>1.1009346644612899E-2</c:v>
                </c:pt>
                <c:pt idx="3972">
                  <c:v>1.537945751119639E-2</c:v>
                </c:pt>
                <c:pt idx="3973">
                  <c:v>1.5547936855826882E-2</c:v>
                </c:pt>
                <c:pt idx="3974">
                  <c:v>9.973689137716537E-3</c:v>
                </c:pt>
                <c:pt idx="3975">
                  <c:v>7.5045391164197863E-3</c:v>
                </c:pt>
                <c:pt idx="3976">
                  <c:v>1.0383075363520925E-2</c:v>
                </c:pt>
                <c:pt idx="3977">
                  <c:v>9.6904990529881555E-3</c:v>
                </c:pt>
                <c:pt idx="3978">
                  <c:v>9.7185290939676618E-3</c:v>
                </c:pt>
                <c:pt idx="3979">
                  <c:v>1.2363458908047372E-2</c:v>
                </c:pt>
                <c:pt idx="3980">
                  <c:v>1.2522563475743678E-2</c:v>
                </c:pt>
                <c:pt idx="3981">
                  <c:v>9.2800340304038716E-3</c:v>
                </c:pt>
                <c:pt idx="3982">
                  <c:v>1.0896277850817666E-2</c:v>
                </c:pt>
                <c:pt idx="3983">
                  <c:v>8.8653510435702607E-3</c:v>
                </c:pt>
                <c:pt idx="3984">
                  <c:v>6.3406563840979532E-3</c:v>
                </c:pt>
                <c:pt idx="3985">
                  <c:v>6.4480710712639744E-3</c:v>
                </c:pt>
                <c:pt idx="3986">
                  <c:v>7.2240051829511607E-3</c:v>
                </c:pt>
                <c:pt idx="3987">
                  <c:v>5.1157068123585912E-3</c:v>
                </c:pt>
                <c:pt idx="3988">
                  <c:v>9.0806103035998079E-3</c:v>
                </c:pt>
                <c:pt idx="3989">
                  <c:v>1.9490162997507755E-2</c:v>
                </c:pt>
                <c:pt idx="3990">
                  <c:v>9.2128609985977494E-3</c:v>
                </c:pt>
                <c:pt idx="3991">
                  <c:v>6.0842087511506857E-3</c:v>
                </c:pt>
                <c:pt idx="3992">
                  <c:v>6.2850128342304724E-3</c:v>
                </c:pt>
                <c:pt idx="3993">
                  <c:v>6.6157731529397357E-3</c:v>
                </c:pt>
                <c:pt idx="3994">
                  <c:v>5.985271110336211E-3</c:v>
                </c:pt>
                <c:pt idx="3995">
                  <c:v>5.4031815338515792E-3</c:v>
                </c:pt>
                <c:pt idx="3996">
                  <c:v>7.0492737747927829E-3</c:v>
                </c:pt>
                <c:pt idx="3997">
                  <c:v>6.0460925888845126E-3</c:v>
                </c:pt>
                <c:pt idx="3998">
                  <c:v>4.4322982060976089E-3</c:v>
                </c:pt>
                <c:pt idx="3999">
                  <c:v>5.5858650592253119E-3</c:v>
                </c:pt>
                <c:pt idx="4000">
                  <c:v>7.6133733527797495E-3</c:v>
                </c:pt>
                <c:pt idx="4001">
                  <c:v>8.6108161040683757E-3</c:v>
                </c:pt>
                <c:pt idx="4002">
                  <c:v>5.9912679726467121E-3</c:v>
                </c:pt>
                <c:pt idx="4003">
                  <c:v>6.3646237164485461E-3</c:v>
                </c:pt>
                <c:pt idx="4004">
                  <c:v>7.8053672619066679E-3</c:v>
                </c:pt>
                <c:pt idx="4005">
                  <c:v>9.823837928780093E-3</c:v>
                </c:pt>
                <c:pt idx="4006">
                  <c:v>1.3694005207036959E-2</c:v>
                </c:pt>
                <c:pt idx="4007">
                  <c:v>2.2044223977946975E-2</c:v>
                </c:pt>
                <c:pt idx="4008">
                  <c:v>1.1799582368500225E-2</c:v>
                </c:pt>
                <c:pt idx="4009">
                  <c:v>1.083401392503246E-2</c:v>
                </c:pt>
                <c:pt idx="4010">
                  <c:v>8.7547020083434488E-3</c:v>
                </c:pt>
                <c:pt idx="4011">
                  <c:v>1.2594711058320964E-2</c:v>
                </c:pt>
                <c:pt idx="4012">
                  <c:v>1.3411126009677626E-2</c:v>
                </c:pt>
                <c:pt idx="4013">
                  <c:v>1.6608441622054243E-2</c:v>
                </c:pt>
                <c:pt idx="4014">
                  <c:v>1.411755842223811E-2</c:v>
                </c:pt>
                <c:pt idx="4015">
                  <c:v>1.2954426234967552E-2</c:v>
                </c:pt>
                <c:pt idx="4016">
                  <c:v>6.312407472806471E-3</c:v>
                </c:pt>
                <c:pt idx="4017">
                  <c:v>5.7800428500332911E-3</c:v>
                </c:pt>
                <c:pt idx="4018">
                  <c:v>9.8501611480363988E-3</c:v>
                </c:pt>
                <c:pt idx="4019">
                  <c:v>6.6059352780988316E-3</c:v>
                </c:pt>
                <c:pt idx="4020">
                  <c:v>1.2476146414461301E-2</c:v>
                </c:pt>
                <c:pt idx="4021">
                  <c:v>8.2747547923287205E-3</c:v>
                </c:pt>
                <c:pt idx="4022">
                  <c:v>7.9955708465251109E-3</c:v>
                </c:pt>
                <c:pt idx="4023">
                  <c:v>6.3154036565667678E-3</c:v>
                </c:pt>
                <c:pt idx="4024">
                  <c:v>5.3173881057717908E-3</c:v>
                </c:pt>
                <c:pt idx="4025">
                  <c:v>4.3402931301486083E-3</c:v>
                </c:pt>
                <c:pt idx="4026">
                  <c:v>5.2787755330918574E-3</c:v>
                </c:pt>
                <c:pt idx="4027">
                  <c:v>6.1711353477963199E-3</c:v>
                </c:pt>
                <c:pt idx="4028">
                  <c:v>7.4588632927630408E-3</c:v>
                </c:pt>
                <c:pt idx="4029">
                  <c:v>1.038985986320117E-2</c:v>
                </c:pt>
                <c:pt idx="4030">
                  <c:v>5.6548874201961209E-3</c:v>
                </c:pt>
                <c:pt idx="4031">
                  <c:v>6.6110681101675776E-3</c:v>
                </c:pt>
                <c:pt idx="4032">
                  <c:v>1.2948103218605629E-2</c:v>
                </c:pt>
                <c:pt idx="4033">
                  <c:v>1.2184871633142393E-2</c:v>
                </c:pt>
                <c:pt idx="4034">
                  <c:v>1.19542460986387E-2</c:v>
                </c:pt>
                <c:pt idx="4035">
                  <c:v>9.6276372319102788E-3</c:v>
                </c:pt>
                <c:pt idx="4036">
                  <c:v>8.9032205837622259E-3</c:v>
                </c:pt>
                <c:pt idx="4037">
                  <c:v>6.5528924608807132E-3</c:v>
                </c:pt>
                <c:pt idx="4038">
                  <c:v>8.7053264197154943E-3</c:v>
                </c:pt>
                <c:pt idx="4039">
                  <c:v>9.0882657827558999E-3</c:v>
                </c:pt>
                <c:pt idx="4040">
                  <c:v>1.0575120543617922E-2</c:v>
                </c:pt>
                <c:pt idx="4041">
                  <c:v>8.4311046331743689E-3</c:v>
                </c:pt>
                <c:pt idx="4042">
                  <c:v>9.6841283368187224E-3</c:v>
                </c:pt>
                <c:pt idx="4043">
                  <c:v>7.2893511912410693E-3</c:v>
                </c:pt>
                <c:pt idx="4044">
                  <c:v>8.7044750672340982E-3</c:v>
                </c:pt>
                <c:pt idx="4045">
                  <c:v>7.8220027379530387E-3</c:v>
                </c:pt>
                <c:pt idx="4046">
                  <c:v>7.832239637268262E-3</c:v>
                </c:pt>
                <c:pt idx="4047">
                  <c:v>6.2370680582991573E-3</c:v>
                </c:pt>
                <c:pt idx="4048">
                  <c:v>8.6444505106058837E-3</c:v>
                </c:pt>
                <c:pt idx="4049">
                  <c:v>1.2978031349363268E-2</c:v>
                </c:pt>
                <c:pt idx="4050">
                  <c:v>7.2163167708177668E-3</c:v>
                </c:pt>
                <c:pt idx="4051">
                  <c:v>7.9179641975480157E-3</c:v>
                </c:pt>
                <c:pt idx="4052">
                  <c:v>7.7443650640926067E-3</c:v>
                </c:pt>
                <c:pt idx="4053">
                  <c:v>8.6197571498656169E-3</c:v>
                </c:pt>
                <c:pt idx="4054">
                  <c:v>1.1036444903617774E-2</c:v>
                </c:pt>
                <c:pt idx="4055">
                  <c:v>1.2415796817117963E-2</c:v>
                </c:pt>
                <c:pt idx="4056">
                  <c:v>1.6022847553014318E-2</c:v>
                </c:pt>
                <c:pt idx="4057">
                  <c:v>1.0648016122536141E-2</c:v>
                </c:pt>
                <c:pt idx="4058">
                  <c:v>2.2190330732492838E-2</c:v>
                </c:pt>
                <c:pt idx="4059">
                  <c:v>1.5371492939299727E-2</c:v>
                </c:pt>
                <c:pt idx="4060">
                  <c:v>1.1719693461951551E-2</c:v>
                </c:pt>
                <c:pt idx="4061">
                  <c:v>1.0167188131837441E-2</c:v>
                </c:pt>
                <c:pt idx="4062">
                  <c:v>1.186044024460591E-2</c:v>
                </c:pt>
                <c:pt idx="4063">
                  <c:v>8.6091130268558334E-3</c:v>
                </c:pt>
                <c:pt idx="4064">
                  <c:v>6.2178030416138487E-3</c:v>
                </c:pt>
                <c:pt idx="4065">
                  <c:v>1.1649514361858326E-2</c:v>
                </c:pt>
                <c:pt idx="4066">
                  <c:v>8.9763973053702418E-3</c:v>
                </c:pt>
                <c:pt idx="4067">
                  <c:v>1.041572479597243E-2</c:v>
                </c:pt>
                <c:pt idx="4068">
                  <c:v>8.5541852056789294E-3</c:v>
                </c:pt>
                <c:pt idx="4069">
                  <c:v>9.8386980067334123E-3</c:v>
                </c:pt>
                <c:pt idx="4070">
                  <c:v>1.1140588099489476E-2</c:v>
                </c:pt>
                <c:pt idx="4071">
                  <c:v>1.5295612588000102E-2</c:v>
                </c:pt>
                <c:pt idx="4072">
                  <c:v>7.1454061092119077E-3</c:v>
                </c:pt>
                <c:pt idx="4073">
                  <c:v>5.5138300286268413E-3</c:v>
                </c:pt>
                <c:pt idx="4074">
                  <c:v>6.6499901125023344E-3</c:v>
                </c:pt>
                <c:pt idx="4075">
                  <c:v>9.5367263434542032E-3</c:v>
                </c:pt>
                <c:pt idx="4076">
                  <c:v>8.2760330846263462E-3</c:v>
                </c:pt>
                <c:pt idx="4077">
                  <c:v>1.0261784548854427E-2</c:v>
                </c:pt>
                <c:pt idx="4078">
                  <c:v>9.8412453976153679E-3</c:v>
                </c:pt>
                <c:pt idx="4079">
                  <c:v>1.2322090613970355E-2</c:v>
                </c:pt>
                <c:pt idx="4080">
                  <c:v>4.8916020141760172E-3</c:v>
                </c:pt>
                <c:pt idx="4081">
                  <c:v>6.389017678631894E-3</c:v>
                </c:pt>
                <c:pt idx="4082">
                  <c:v>4.6794116055752233E-3</c:v>
                </c:pt>
                <c:pt idx="4083">
                  <c:v>4.0904053100546634E-3</c:v>
                </c:pt>
                <c:pt idx="4084">
                  <c:v>4.0159703043326405E-3</c:v>
                </c:pt>
                <c:pt idx="4085">
                  <c:v>5.7633289718561145E-3</c:v>
                </c:pt>
                <c:pt idx="4086">
                  <c:v>4.057276854065324E-3</c:v>
                </c:pt>
                <c:pt idx="4087">
                  <c:v>5.9368648327892586E-3</c:v>
                </c:pt>
                <c:pt idx="4088">
                  <c:v>6.912088132497567E-3</c:v>
                </c:pt>
                <c:pt idx="4089">
                  <c:v>4.8787189133543737E-3</c:v>
                </c:pt>
                <c:pt idx="4090">
                  <c:v>7.3239421566787307E-3</c:v>
                </c:pt>
                <c:pt idx="4091">
                  <c:v>4.6368751437682945E-3</c:v>
                </c:pt>
                <c:pt idx="4092">
                  <c:v>5.9655665511285016E-3</c:v>
                </c:pt>
                <c:pt idx="4093">
                  <c:v>5.065057222104985E-3</c:v>
                </c:pt>
                <c:pt idx="4094">
                  <c:v>5.094245842763457E-3</c:v>
                </c:pt>
                <c:pt idx="4095">
                  <c:v>4.8542399688653202E-3</c:v>
                </c:pt>
                <c:pt idx="4096">
                  <c:v>4.6067963431111391E-3</c:v>
                </c:pt>
                <c:pt idx="4097">
                  <c:v>1.0328795550219481E-2</c:v>
                </c:pt>
                <c:pt idx="4098">
                  <c:v>6.4326666125273753E-3</c:v>
                </c:pt>
                <c:pt idx="4099">
                  <c:v>7.5945960589145984E-3</c:v>
                </c:pt>
                <c:pt idx="4100">
                  <c:v>8.047158802024763E-3</c:v>
                </c:pt>
                <c:pt idx="4101">
                  <c:v>6.9244836317444835E-3</c:v>
                </c:pt>
                <c:pt idx="4102">
                  <c:v>8.9810767925244065E-3</c:v>
                </c:pt>
                <c:pt idx="4103">
                  <c:v>1.047720083113942E-2</c:v>
                </c:pt>
                <c:pt idx="4104">
                  <c:v>8.6265692516863061E-3</c:v>
                </c:pt>
                <c:pt idx="4105">
                  <c:v>1.0180339539536438E-2</c:v>
                </c:pt>
                <c:pt idx="4106">
                  <c:v>1.6054238688942093E-2</c:v>
                </c:pt>
                <c:pt idx="4107">
                  <c:v>0.12757416605782065</c:v>
                </c:pt>
                <c:pt idx="4108">
                  <c:v>1.1854523880890375E-2</c:v>
                </c:pt>
                <c:pt idx="4109">
                  <c:v>9.345496482103019E-3</c:v>
                </c:pt>
                <c:pt idx="4110">
                  <c:v>1.2387518246319744E-2</c:v>
                </c:pt>
                <c:pt idx="4111">
                  <c:v>8.8351381434243811E-3</c:v>
                </c:pt>
                <c:pt idx="4112">
                  <c:v>1.6045449399592578E-2</c:v>
                </c:pt>
                <c:pt idx="4113">
                  <c:v>1.2763008821678322E-2</c:v>
                </c:pt>
                <c:pt idx="4114">
                  <c:v>8.6295495126335452E-3</c:v>
                </c:pt>
                <c:pt idx="4115">
                  <c:v>6.7380863768076909E-3</c:v>
                </c:pt>
                <c:pt idx="4116">
                  <c:v>6.6653868648226125E-3</c:v>
                </c:pt>
                <c:pt idx="4117">
                  <c:v>6.5332136392225208E-3</c:v>
                </c:pt>
                <c:pt idx="4118">
                  <c:v>4.1854742484567706E-3</c:v>
                </c:pt>
                <c:pt idx="4119">
                  <c:v>1.0150642246775808E-2</c:v>
                </c:pt>
                <c:pt idx="4120">
                  <c:v>4.9663164634890563E-3</c:v>
                </c:pt>
                <c:pt idx="4121">
                  <c:v>6.0760718737601759E-3</c:v>
                </c:pt>
                <c:pt idx="4122">
                  <c:v>3.9221554213502126E-3</c:v>
                </c:pt>
                <c:pt idx="4123">
                  <c:v>4.4430451912348661E-3</c:v>
                </c:pt>
                <c:pt idx="4124">
                  <c:v>3.3200530416265281E-3</c:v>
                </c:pt>
                <c:pt idx="4125">
                  <c:v>4.8104320979414708E-3</c:v>
                </c:pt>
                <c:pt idx="4126">
                  <c:v>2.6601416840352182E-3</c:v>
                </c:pt>
                <c:pt idx="4127">
                  <c:v>1.1253593313144272E-2</c:v>
                </c:pt>
                <c:pt idx="4128">
                  <c:v>9.4768167114299071E-3</c:v>
                </c:pt>
                <c:pt idx="4129">
                  <c:v>1.0828930761462309E-2</c:v>
                </c:pt>
                <c:pt idx="4130">
                  <c:v>1.2175581396734327E-2</c:v>
                </c:pt>
                <c:pt idx="4131">
                  <c:v>1.2721678570644157E-2</c:v>
                </c:pt>
                <c:pt idx="4132">
                  <c:v>1.0314800435809682E-2</c:v>
                </c:pt>
                <c:pt idx="4133">
                  <c:v>9.5983269213630509E-3</c:v>
                </c:pt>
                <c:pt idx="4134">
                  <c:v>7.9640181677258278E-3</c:v>
                </c:pt>
                <c:pt idx="4135">
                  <c:v>8.421733748936136E-3</c:v>
                </c:pt>
                <c:pt idx="4136">
                  <c:v>7.3209529227445565E-3</c:v>
                </c:pt>
                <c:pt idx="4137">
                  <c:v>8.2892418847248413E-3</c:v>
                </c:pt>
                <c:pt idx="4138">
                  <c:v>5.7058968983178015E-3</c:v>
                </c:pt>
                <c:pt idx="4139">
                  <c:v>7.4183059650668815E-3</c:v>
                </c:pt>
                <c:pt idx="4140">
                  <c:v>8.2807201241943545E-3</c:v>
                </c:pt>
                <c:pt idx="4141">
                  <c:v>7.7076743011310952E-3</c:v>
                </c:pt>
                <c:pt idx="4142">
                  <c:v>7.0561105547420561E-3</c:v>
                </c:pt>
                <c:pt idx="4143">
                  <c:v>7.0984107376296512E-3</c:v>
                </c:pt>
                <c:pt idx="4144">
                  <c:v>5.0865196340893247E-3</c:v>
                </c:pt>
                <c:pt idx="4145">
                  <c:v>7.7051143647801799E-3</c:v>
                </c:pt>
                <c:pt idx="4146">
                  <c:v>5.4006079775903385E-3</c:v>
                </c:pt>
                <c:pt idx="4147">
                  <c:v>6.7094356691754353E-3</c:v>
                </c:pt>
                <c:pt idx="4148">
                  <c:v>1.1769150232133369E-2</c:v>
                </c:pt>
                <c:pt idx="4149">
                  <c:v>8.6699938891441741E-3</c:v>
                </c:pt>
                <c:pt idx="4150">
                  <c:v>7.1360074417193692E-3</c:v>
                </c:pt>
                <c:pt idx="4151">
                  <c:v>1.15869354796585E-2</c:v>
                </c:pt>
                <c:pt idx="4152">
                  <c:v>8.7087318129523035E-3</c:v>
                </c:pt>
                <c:pt idx="4153">
                  <c:v>9.8204412681403199E-3</c:v>
                </c:pt>
                <c:pt idx="4154">
                  <c:v>1.028511233644926E-2</c:v>
                </c:pt>
                <c:pt idx="4155">
                  <c:v>1.08945837124747E-2</c:v>
                </c:pt>
                <c:pt idx="4156">
                  <c:v>8.6384901727686748E-3</c:v>
                </c:pt>
                <c:pt idx="4157">
                  <c:v>8.1204798963690362E-3</c:v>
                </c:pt>
                <c:pt idx="4158">
                  <c:v>7.7857451121127906E-3</c:v>
                </c:pt>
                <c:pt idx="4159">
                  <c:v>1.1518849562136352E-2</c:v>
                </c:pt>
                <c:pt idx="4160">
                  <c:v>1.0437772374915485E-2</c:v>
                </c:pt>
                <c:pt idx="4161">
                  <c:v>7.9977027016057533E-3</c:v>
                </c:pt>
                <c:pt idx="4162">
                  <c:v>1.1029670497379679E-2</c:v>
                </c:pt>
                <c:pt idx="4163">
                  <c:v>8.4805114065579865E-3</c:v>
                </c:pt>
                <c:pt idx="4164">
                  <c:v>1.1525193421533245E-2</c:v>
                </c:pt>
                <c:pt idx="4165">
                  <c:v>1.0985210834067399E-2</c:v>
                </c:pt>
                <c:pt idx="4166">
                  <c:v>9.8692657111937275E-3</c:v>
                </c:pt>
                <c:pt idx="4167">
                  <c:v>4.6914413642766221E-3</c:v>
                </c:pt>
                <c:pt idx="4168">
                  <c:v>5.6128751155974897E-3</c:v>
                </c:pt>
                <c:pt idx="4169">
                  <c:v>8.8704572415940833E-3</c:v>
                </c:pt>
                <c:pt idx="4170">
                  <c:v>9.3964993455341022E-3</c:v>
                </c:pt>
                <c:pt idx="4171">
                  <c:v>8.7998161726874132E-3</c:v>
                </c:pt>
                <c:pt idx="4172">
                  <c:v>1.2101252350226998E-2</c:v>
                </c:pt>
                <c:pt idx="4173">
                  <c:v>7.5937425262666758E-3</c:v>
                </c:pt>
                <c:pt idx="4174">
                  <c:v>8.2244723105597464E-3</c:v>
                </c:pt>
                <c:pt idx="4175">
                  <c:v>8.9525736799102272E-3</c:v>
                </c:pt>
                <c:pt idx="4176">
                  <c:v>2.4088530807109937E-3</c:v>
                </c:pt>
                <c:pt idx="4177">
                  <c:v>3.1299461338858562E-3</c:v>
                </c:pt>
                <c:pt idx="4178">
                  <c:v>3.6138868119142582E-3</c:v>
                </c:pt>
                <c:pt idx="4179">
                  <c:v>3.0437024136760289E-3</c:v>
                </c:pt>
                <c:pt idx="4180">
                  <c:v>3.5294622710515706E-3</c:v>
                </c:pt>
                <c:pt idx="4181">
                  <c:v>2.3574548560354701E-3</c:v>
                </c:pt>
                <c:pt idx="4182">
                  <c:v>2.9958297575937813E-3</c:v>
                </c:pt>
                <c:pt idx="4183">
                  <c:v>3.5169694910153647E-3</c:v>
                </c:pt>
                <c:pt idx="4184">
                  <c:v>3.5660769699674046E-3</c:v>
                </c:pt>
                <c:pt idx="4185">
                  <c:v>3.7318813728814022E-3</c:v>
                </c:pt>
                <c:pt idx="4186">
                  <c:v>2.8694378419225827E-3</c:v>
                </c:pt>
                <c:pt idx="4187">
                  <c:v>5.3650055512324797E-3</c:v>
                </c:pt>
                <c:pt idx="4188">
                  <c:v>3.6052728146966301E-3</c:v>
                </c:pt>
                <c:pt idx="4189">
                  <c:v>4.3957564672472303E-3</c:v>
                </c:pt>
                <c:pt idx="4190">
                  <c:v>3.6931275708744363E-3</c:v>
                </c:pt>
                <c:pt idx="4191">
                  <c:v>3.7232697157277565E-3</c:v>
                </c:pt>
                <c:pt idx="4192">
                  <c:v>4.7421345436803293E-3</c:v>
                </c:pt>
                <c:pt idx="4193">
                  <c:v>6.6256108049328908E-3</c:v>
                </c:pt>
                <c:pt idx="4194">
                  <c:v>6.1338832225446222E-3</c:v>
                </c:pt>
                <c:pt idx="4195">
                  <c:v>5.3251102083655116E-3</c:v>
                </c:pt>
                <c:pt idx="4196">
                  <c:v>5.8220389872359803E-3</c:v>
                </c:pt>
                <c:pt idx="4197">
                  <c:v>6.8223170622900989E-3</c:v>
                </c:pt>
                <c:pt idx="4198">
                  <c:v>5.9587125818354372E-3</c:v>
                </c:pt>
                <c:pt idx="4199">
                  <c:v>1.0421236795641305E-2</c:v>
                </c:pt>
                <c:pt idx="4200">
                  <c:v>1.0444132045460653E-2</c:v>
                </c:pt>
                <c:pt idx="4201">
                  <c:v>4.8503747462370376E-3</c:v>
                </c:pt>
                <c:pt idx="4202">
                  <c:v>8.3723202879792697E-3</c:v>
                </c:pt>
                <c:pt idx="4203">
                  <c:v>1.0947098928324708E-2</c:v>
                </c:pt>
                <c:pt idx="4204">
                  <c:v>1.0071298090366183E-2</c:v>
                </c:pt>
                <c:pt idx="4205">
                  <c:v>7.5510637549500922E-3</c:v>
                </c:pt>
                <c:pt idx="4206">
                  <c:v>8.672548144370431E-3</c:v>
                </c:pt>
                <c:pt idx="4207">
                  <c:v>6.6884809698812405E-3</c:v>
                </c:pt>
                <c:pt idx="4208">
                  <c:v>6.2126655594981119E-3</c:v>
                </c:pt>
                <c:pt idx="4209">
                  <c:v>1.020876218926923E-2</c:v>
                </c:pt>
                <c:pt idx="4210">
                  <c:v>5.7761858583147505E-3</c:v>
                </c:pt>
                <c:pt idx="4211">
                  <c:v>3.9462565916929416E-3</c:v>
                </c:pt>
                <c:pt idx="4212">
                  <c:v>4.5706990322462821E-3</c:v>
                </c:pt>
                <c:pt idx="4213">
                  <c:v>3.5290314915153291E-3</c:v>
                </c:pt>
                <c:pt idx="4214">
                  <c:v>3.7689095529420545E-3</c:v>
                </c:pt>
                <c:pt idx="4215">
                  <c:v>6.1655691413318534E-3</c:v>
                </c:pt>
                <c:pt idx="4216">
                  <c:v>3.8429564432816287E-3</c:v>
                </c:pt>
                <c:pt idx="4217">
                  <c:v>4.2155822426070341E-3</c:v>
                </c:pt>
                <c:pt idx="4218">
                  <c:v>5.7316136911505907E-3</c:v>
                </c:pt>
                <c:pt idx="4219">
                  <c:v>8.4749747202225376E-3</c:v>
                </c:pt>
                <c:pt idx="4220">
                  <c:v>1.1654587930099986E-2</c:v>
                </c:pt>
                <c:pt idx="4221">
                  <c:v>7.5263081457107115E-3</c:v>
                </c:pt>
                <c:pt idx="4222">
                  <c:v>4.1970875791940325E-3</c:v>
                </c:pt>
                <c:pt idx="4223">
                  <c:v>7.1953865148479072E-3</c:v>
                </c:pt>
                <c:pt idx="4224">
                  <c:v>8.9002422002439404E-3</c:v>
                </c:pt>
                <c:pt idx="4225">
                  <c:v>1.1097833142459986E-2</c:v>
                </c:pt>
                <c:pt idx="4226">
                  <c:v>9.0695521510196567E-3</c:v>
                </c:pt>
                <c:pt idx="4227">
                  <c:v>7.573684026122917E-3</c:v>
                </c:pt>
                <c:pt idx="4228">
                  <c:v>9.5031609719134682E-3</c:v>
                </c:pt>
                <c:pt idx="4229">
                  <c:v>7.33547186626873E-3</c:v>
                </c:pt>
                <c:pt idx="4230">
                  <c:v>9.9575603293032156E-3</c:v>
                </c:pt>
                <c:pt idx="4231">
                  <c:v>9.8985577425407638E-3</c:v>
                </c:pt>
                <c:pt idx="4232">
                  <c:v>1.0872982869290953E-2</c:v>
                </c:pt>
                <c:pt idx="4233">
                  <c:v>5.3697241128603324E-3</c:v>
                </c:pt>
                <c:pt idx="4234">
                  <c:v>7.4597170905342835E-3</c:v>
                </c:pt>
                <c:pt idx="4235">
                  <c:v>7.7550304020632165E-3</c:v>
                </c:pt>
                <c:pt idx="4236">
                  <c:v>8.3906380025587333E-3</c:v>
                </c:pt>
                <c:pt idx="4237">
                  <c:v>6.8218895366085842E-3</c:v>
                </c:pt>
                <c:pt idx="4238">
                  <c:v>5.2311486316371546E-3</c:v>
                </c:pt>
                <c:pt idx="4239">
                  <c:v>5.9484314250761068E-3</c:v>
                </c:pt>
                <c:pt idx="4240">
                  <c:v>6.3158316811308089E-3</c:v>
                </c:pt>
                <c:pt idx="4241">
                  <c:v>6.1407344279005988E-3</c:v>
                </c:pt>
                <c:pt idx="4242">
                  <c:v>1.0245242267432411E-2</c:v>
                </c:pt>
                <c:pt idx="4243">
                  <c:v>1.1448637996874627E-2</c:v>
                </c:pt>
                <c:pt idx="4244">
                  <c:v>6.0079730810327801E-3</c:v>
                </c:pt>
                <c:pt idx="4245">
                  <c:v>1.3142809887446059E-2</c:v>
                </c:pt>
                <c:pt idx="4246">
                  <c:v>1.4555398521305886E-2</c:v>
                </c:pt>
                <c:pt idx="4247">
                  <c:v>1.2717460976927997E-2</c:v>
                </c:pt>
                <c:pt idx="4248">
                  <c:v>1.0458970914574314E-2</c:v>
                </c:pt>
                <c:pt idx="4249">
                  <c:v>2.1620484135483054E-2</c:v>
                </c:pt>
                <c:pt idx="4250">
                  <c:v>1.3389649974861159E-2</c:v>
                </c:pt>
                <c:pt idx="4251">
                  <c:v>8.1652337825818353E-3</c:v>
                </c:pt>
                <c:pt idx="4252">
                  <c:v>1.5789226235882872E-2</c:v>
                </c:pt>
                <c:pt idx="4253">
                  <c:v>7.392688859133004E-3</c:v>
                </c:pt>
                <c:pt idx="4254">
                  <c:v>6.4908583677438531E-3</c:v>
                </c:pt>
                <c:pt idx="4255">
                  <c:v>7.2000852315448017E-3</c:v>
                </c:pt>
                <c:pt idx="4256">
                  <c:v>8.5946366008946441E-3</c:v>
                </c:pt>
                <c:pt idx="4257">
                  <c:v>8.4302527429624702E-3</c:v>
                </c:pt>
                <c:pt idx="4258">
                  <c:v>9.4836153832519709E-3</c:v>
                </c:pt>
                <c:pt idx="4259">
                  <c:v>8.993413380611763E-3</c:v>
                </c:pt>
                <c:pt idx="4260">
                  <c:v>7.9175377490782236E-3</c:v>
                </c:pt>
                <c:pt idx="4261">
                  <c:v>5.6990388297001185E-3</c:v>
                </c:pt>
                <c:pt idx="4262">
                  <c:v>9.9953347549998489E-3</c:v>
                </c:pt>
                <c:pt idx="4263">
                  <c:v>1.081706981508908E-2</c:v>
                </c:pt>
                <c:pt idx="4264">
                  <c:v>1.0929312227669101E-2</c:v>
                </c:pt>
                <c:pt idx="4265">
                  <c:v>1.1138048318644211E-2</c:v>
                </c:pt>
                <c:pt idx="4266">
                  <c:v>1.0892889567522955E-2</c:v>
                </c:pt>
                <c:pt idx="4267">
                  <c:v>9.3688735380239967E-3</c:v>
                </c:pt>
                <c:pt idx="4268">
                  <c:v>1.1049993399087491E-2</c:v>
                </c:pt>
                <c:pt idx="4269">
                  <c:v>9.7474066380880964E-3</c:v>
                </c:pt>
                <c:pt idx="4270">
                  <c:v>9.6522733541048161E-3</c:v>
                </c:pt>
                <c:pt idx="4271">
                  <c:v>7.2526219652967331E-3</c:v>
                </c:pt>
                <c:pt idx="4272">
                  <c:v>5.9372932305896036E-3</c:v>
                </c:pt>
                <c:pt idx="4273">
                  <c:v>9.32764406474214E-3</c:v>
                </c:pt>
                <c:pt idx="4274">
                  <c:v>5.255177270778854E-3</c:v>
                </c:pt>
                <c:pt idx="4275">
                  <c:v>3.6608300940136687E-3</c:v>
                </c:pt>
                <c:pt idx="4276">
                  <c:v>2.6161119201943027E-3</c:v>
                </c:pt>
                <c:pt idx="4277">
                  <c:v>3.2114307129532467E-3</c:v>
                </c:pt>
                <c:pt idx="4278">
                  <c:v>3.1178730440274095E-3</c:v>
                </c:pt>
                <c:pt idx="4279">
                  <c:v>3.0579338073702497E-3</c:v>
                </c:pt>
                <c:pt idx="4280">
                  <c:v>2.9289717225863847E-3</c:v>
                </c:pt>
                <c:pt idx="4281">
                  <c:v>3.0143756469358193E-3</c:v>
                </c:pt>
                <c:pt idx="4282">
                  <c:v>3.1540913067783544E-3</c:v>
                </c:pt>
                <c:pt idx="4283">
                  <c:v>2.7546610987872876E-3</c:v>
                </c:pt>
                <c:pt idx="4284">
                  <c:v>3.4230467418849522E-3</c:v>
                </c:pt>
                <c:pt idx="4285">
                  <c:v>2.6476238719881661E-3</c:v>
                </c:pt>
                <c:pt idx="4286">
                  <c:v>3.5785683374933153E-3</c:v>
                </c:pt>
                <c:pt idx="4287">
                  <c:v>3.6026885822144977E-3</c:v>
                </c:pt>
                <c:pt idx="4288">
                  <c:v>4.6205469104737855E-3</c:v>
                </c:pt>
                <c:pt idx="4289">
                  <c:v>7.0501283781723087E-3</c:v>
                </c:pt>
                <c:pt idx="4290">
                  <c:v>7.1364346582906916E-3</c:v>
                </c:pt>
                <c:pt idx="4291">
                  <c:v>8.0232841463520645E-3</c:v>
                </c:pt>
                <c:pt idx="4292">
                  <c:v>9.7571736081652743E-3</c:v>
                </c:pt>
                <c:pt idx="4293">
                  <c:v>0.11571366516183415</c:v>
                </c:pt>
                <c:pt idx="4294">
                  <c:v>1.6498911915357083E-2</c:v>
                </c:pt>
                <c:pt idx="4295">
                  <c:v>7.1479693468641864E-3</c:v>
                </c:pt>
                <c:pt idx="4296">
                  <c:v>8.5128783142035432E-3</c:v>
                </c:pt>
                <c:pt idx="4297">
                  <c:v>1.1571712225849585E-2</c:v>
                </c:pt>
                <c:pt idx="4298">
                  <c:v>1.7925648816623937E-2</c:v>
                </c:pt>
                <c:pt idx="4299">
                  <c:v>8.891306927133023E-3</c:v>
                </c:pt>
                <c:pt idx="4300">
                  <c:v>1.2706073269301706E-2</c:v>
                </c:pt>
                <c:pt idx="4301">
                  <c:v>6.8086360317284262E-3</c:v>
                </c:pt>
                <c:pt idx="4302">
                  <c:v>7.5689893497480091E-3</c:v>
                </c:pt>
                <c:pt idx="4303">
                  <c:v>4.4365970320656978E-3</c:v>
                </c:pt>
                <c:pt idx="4304">
                  <c:v>6.7714385510810673E-3</c:v>
                </c:pt>
                <c:pt idx="4305">
                  <c:v>3.6341290328768109E-3</c:v>
                </c:pt>
                <c:pt idx="4306">
                  <c:v>3.4260629256395369E-3</c:v>
                </c:pt>
                <c:pt idx="4307">
                  <c:v>3.0863951957896896E-3</c:v>
                </c:pt>
                <c:pt idx="4308">
                  <c:v>3.9634708945290196E-3</c:v>
                </c:pt>
                <c:pt idx="4309">
                  <c:v>2.813347734660764E-3</c:v>
                </c:pt>
                <c:pt idx="4310">
                  <c:v>2.0683885322308982E-3</c:v>
                </c:pt>
                <c:pt idx="4311">
                  <c:v>3.1885820824538885E-3</c:v>
                </c:pt>
                <c:pt idx="4312">
                  <c:v>7.2470696027272102E-3</c:v>
                </c:pt>
                <c:pt idx="4313">
                  <c:v>5.1719295240687481E-3</c:v>
                </c:pt>
                <c:pt idx="4314">
                  <c:v>5.8301806254968478E-3</c:v>
                </c:pt>
                <c:pt idx="4315">
                  <c:v>6.3838822215107338E-3</c:v>
                </c:pt>
                <c:pt idx="4316">
                  <c:v>6.6615377279157758E-3</c:v>
                </c:pt>
                <c:pt idx="4317">
                  <c:v>3.4596704132510052E-3</c:v>
                </c:pt>
                <c:pt idx="4318">
                  <c:v>3.4682872988693802E-3</c:v>
                </c:pt>
                <c:pt idx="4319">
                  <c:v>1.0572577453720138E-2</c:v>
                </c:pt>
                <c:pt idx="4320">
                  <c:v>1.0991139052153872E-2</c:v>
                </c:pt>
                <c:pt idx="4321">
                  <c:v>8.6431733022413314E-3</c:v>
                </c:pt>
                <c:pt idx="4322">
                  <c:v>1.0977588720477712E-2</c:v>
                </c:pt>
                <c:pt idx="4323">
                  <c:v>1.056918664402497E-2</c:v>
                </c:pt>
                <c:pt idx="4324">
                  <c:v>1.1080475968608245E-2</c:v>
                </c:pt>
                <c:pt idx="4325">
                  <c:v>1.1043219204185946E-2</c:v>
                </c:pt>
                <c:pt idx="4326">
                  <c:v>1.1487128875080042E-2</c:v>
                </c:pt>
                <c:pt idx="4327">
                  <c:v>1.0808597512206357E-2</c:v>
                </c:pt>
                <c:pt idx="4328">
                  <c:v>1.0630640961458066E-2</c:v>
                </c:pt>
                <c:pt idx="4329">
                  <c:v>1.1105029815980038E-2</c:v>
                </c:pt>
                <c:pt idx="4330">
                  <c:v>1.5104385614617515E-2</c:v>
                </c:pt>
                <c:pt idx="4331">
                  <c:v>1.1281099495727484E-2</c:v>
                </c:pt>
                <c:pt idx="4332">
                  <c:v>1.0228699355890814E-2</c:v>
                </c:pt>
                <c:pt idx="4333">
                  <c:v>6.7222645779195997E-3</c:v>
                </c:pt>
                <c:pt idx="4334">
                  <c:v>7.7917171645977461E-3</c:v>
                </c:pt>
                <c:pt idx="4335">
                  <c:v>6.349216297490857E-3</c:v>
                </c:pt>
                <c:pt idx="4336">
                  <c:v>9.2328439354849821E-3</c:v>
                </c:pt>
                <c:pt idx="4337">
                  <c:v>8.4813631981908184E-3</c:v>
                </c:pt>
                <c:pt idx="4338">
                  <c:v>1.0801819550897155E-2</c:v>
                </c:pt>
                <c:pt idx="4339">
                  <c:v>9.3718487094216034E-3</c:v>
                </c:pt>
                <c:pt idx="4340">
                  <c:v>9.7172550404421645E-3</c:v>
                </c:pt>
                <c:pt idx="4341">
                  <c:v>1.0561557225413305E-2</c:v>
                </c:pt>
                <c:pt idx="4342">
                  <c:v>1.1436370956216541E-2</c:v>
                </c:pt>
                <c:pt idx="4343">
                  <c:v>9.390974324614285E-3</c:v>
                </c:pt>
                <c:pt idx="4344">
                  <c:v>1.0410636734184971E-2</c:v>
                </c:pt>
                <c:pt idx="4345">
                  <c:v>9.3743988401117431E-3</c:v>
                </c:pt>
                <c:pt idx="4346">
                  <c:v>1.2213163401683892E-2</c:v>
                </c:pt>
                <c:pt idx="4347">
                  <c:v>1.1342453164421874E-2</c:v>
                </c:pt>
                <c:pt idx="4348">
                  <c:v>9.2464488132210764E-3</c:v>
                </c:pt>
                <c:pt idx="4349">
                  <c:v>1.2625085402477578E-2</c:v>
                </c:pt>
                <c:pt idx="4350">
                  <c:v>1.6446645640827581E-2</c:v>
                </c:pt>
                <c:pt idx="4351">
                  <c:v>1.5269617374674527E-2</c:v>
                </c:pt>
                <c:pt idx="4352">
                  <c:v>1.4733853476786104E-2</c:v>
                </c:pt>
                <c:pt idx="4353">
                  <c:v>1.3222858733796819E-2</c:v>
                </c:pt>
                <c:pt idx="4354">
                  <c:v>9.9626537019343996E-3</c:v>
                </c:pt>
                <c:pt idx="4355">
                  <c:v>6.3500722795509085E-3</c:v>
                </c:pt>
                <c:pt idx="4356">
                  <c:v>7.6219082179784592E-3</c:v>
                </c:pt>
                <c:pt idx="4357">
                  <c:v>1.4669198269878517E-2</c:v>
                </c:pt>
                <c:pt idx="4358">
                  <c:v>1.7879388907953635E-2</c:v>
                </c:pt>
                <c:pt idx="4359">
                  <c:v>1.6506855838401981E-2</c:v>
                </c:pt>
                <c:pt idx="4360">
                  <c:v>1.6707496230922859E-2</c:v>
                </c:pt>
                <c:pt idx="4361">
                  <c:v>6.7825553733474216E-3</c:v>
                </c:pt>
                <c:pt idx="4362">
                  <c:v>1.0585716591237738E-2</c:v>
                </c:pt>
                <c:pt idx="4363">
                  <c:v>1.1331452454663441E-2</c:v>
                </c:pt>
                <c:pt idx="4364">
                  <c:v>1.1922134663691021E-2</c:v>
                </c:pt>
                <c:pt idx="4365">
                  <c:v>1.580974640354816E-2</c:v>
                </c:pt>
                <c:pt idx="4366">
                  <c:v>1.3733980708787565E-2</c:v>
                </c:pt>
                <c:pt idx="4367">
                  <c:v>1.4814449087053143E-2</c:v>
                </c:pt>
                <c:pt idx="4368">
                  <c:v>5.714040714143654E-3</c:v>
                </c:pt>
                <c:pt idx="4369">
                  <c:v>6.4429363123956205E-3</c:v>
                </c:pt>
                <c:pt idx="4370">
                  <c:v>2.7071881649967846E-3</c:v>
                </c:pt>
                <c:pt idx="4371">
                  <c:v>2.7525033507343399E-3</c:v>
                </c:pt>
                <c:pt idx="4372">
                  <c:v>5.1547630557514145E-3</c:v>
                </c:pt>
                <c:pt idx="4373">
                  <c:v>7.8271212177728668E-3</c:v>
                </c:pt>
                <c:pt idx="4374">
                  <c:v>5.8301806254968478E-3</c:v>
                </c:pt>
                <c:pt idx="4375">
                  <c:v>3.0230013721408255E-3</c:v>
                </c:pt>
                <c:pt idx="4376">
                  <c:v>4.1661180070937864E-3</c:v>
                </c:pt>
                <c:pt idx="4377">
                  <c:v>6.2100967956499392E-3</c:v>
                </c:pt>
                <c:pt idx="4378">
                  <c:v>4.8598230074863077E-3</c:v>
                </c:pt>
                <c:pt idx="4379">
                  <c:v>3.0324894719964725E-3</c:v>
                </c:pt>
                <c:pt idx="4380">
                  <c:v>2.7045985829928071E-3</c:v>
                </c:pt>
                <c:pt idx="4381">
                  <c:v>3.4411435302089117E-3</c:v>
                </c:pt>
                <c:pt idx="4382">
                  <c:v>3.1717681714961729E-3</c:v>
                </c:pt>
                <c:pt idx="4383">
                  <c:v>4.0977190442140739E-3</c:v>
                </c:pt>
                <c:pt idx="4384">
                  <c:v>2.9203441295939238E-3</c:v>
                </c:pt>
                <c:pt idx="4385">
                  <c:v>3.5057687620033383E-3</c:v>
                </c:pt>
                <c:pt idx="4386">
                  <c:v>4.956011786358433E-3</c:v>
                </c:pt>
                <c:pt idx="4387">
                  <c:v>3.9088131268998896E-3</c:v>
                </c:pt>
                <c:pt idx="4388">
                  <c:v>3.1230472664921702E-3</c:v>
                </c:pt>
                <c:pt idx="4389">
                  <c:v>3.2855727059387203E-3</c:v>
                </c:pt>
                <c:pt idx="4390">
                  <c:v>3.739631718321642E-3</c:v>
                </c:pt>
                <c:pt idx="4391">
                  <c:v>4.2590200988542135E-3</c:v>
                </c:pt>
                <c:pt idx="4392">
                  <c:v>4.2998735236266187E-3</c:v>
                </c:pt>
                <c:pt idx="4393">
                  <c:v>3.9673440186352776E-3</c:v>
                </c:pt>
                <c:pt idx="4394">
                  <c:v>3.435542223927055E-3</c:v>
                </c:pt>
                <c:pt idx="4395">
                  <c:v>4.7820834735989495E-3</c:v>
                </c:pt>
                <c:pt idx="4396">
                  <c:v>3.2441926892503551E-3</c:v>
                </c:pt>
                <c:pt idx="4397">
                  <c:v>3.5260160227970866E-3</c:v>
                </c:pt>
                <c:pt idx="4398">
                  <c:v>3.1308084846045883E-3</c:v>
                </c:pt>
                <c:pt idx="4399">
                  <c:v>7.1227635195570413E-3</c:v>
                </c:pt>
                <c:pt idx="4400">
                  <c:v>4.582302066514843E-3</c:v>
                </c:pt>
                <c:pt idx="4401">
                  <c:v>5.9235842913728225E-3</c:v>
                </c:pt>
                <c:pt idx="4402">
                  <c:v>4.538036975013442E-3</c:v>
                </c:pt>
                <c:pt idx="4403">
                  <c:v>3.8455392464698877E-3</c:v>
                </c:pt>
                <c:pt idx="4404">
                  <c:v>3.5901979084362141E-3</c:v>
                </c:pt>
                <c:pt idx="4405">
                  <c:v>4.2843926780348962E-3</c:v>
                </c:pt>
                <c:pt idx="4406">
                  <c:v>5.8147542341507189E-3</c:v>
                </c:pt>
                <c:pt idx="4407">
                  <c:v>5.4006079775903385E-3</c:v>
                </c:pt>
                <c:pt idx="4408">
                  <c:v>4.2370866748635463E-3</c:v>
                </c:pt>
                <c:pt idx="4409">
                  <c:v>6.451494210115722E-3</c:v>
                </c:pt>
                <c:pt idx="4410">
                  <c:v>3.6117333286273604E-3</c:v>
                </c:pt>
                <c:pt idx="4411">
                  <c:v>4.7124926402296466E-3</c:v>
                </c:pt>
                <c:pt idx="4412">
                  <c:v>4.4172519801067307E-3</c:v>
                </c:pt>
                <c:pt idx="4413">
                  <c:v>4.7657606989132918E-3</c:v>
                </c:pt>
                <c:pt idx="4414">
                  <c:v>7.1146460773098448E-3</c:v>
                </c:pt>
                <c:pt idx="4415">
                  <c:v>1.1649091561829349E-2</c:v>
                </c:pt>
                <c:pt idx="4416">
                  <c:v>1.3658655382135213E-2</c:v>
                </c:pt>
                <c:pt idx="4417">
                  <c:v>1.2894143067455134E-2</c:v>
                </c:pt>
                <c:pt idx="4418">
                  <c:v>1.3405230733321064E-2</c:v>
                </c:pt>
                <c:pt idx="4419">
                  <c:v>1.3633403745456485E-2</c:v>
                </c:pt>
                <c:pt idx="4420">
                  <c:v>1.2868846938495911E-2</c:v>
                </c:pt>
                <c:pt idx="4421">
                  <c:v>1.2781142282206682E-2</c:v>
                </c:pt>
                <c:pt idx="4422">
                  <c:v>1.1640212666138973E-2</c:v>
                </c:pt>
                <c:pt idx="4423">
                  <c:v>1.0836979076306525E-2</c:v>
                </c:pt>
                <c:pt idx="4424">
                  <c:v>1.0588259604198314E-2</c:v>
                </c:pt>
                <c:pt idx="4425">
                  <c:v>1.0346182791420211E-2</c:v>
                </c:pt>
                <c:pt idx="4426">
                  <c:v>1.0134520008822203E-2</c:v>
                </c:pt>
                <c:pt idx="4427">
                  <c:v>1.13915298594995E-2</c:v>
                </c:pt>
                <c:pt idx="4428">
                  <c:v>1.1933542945394898E-2</c:v>
                </c:pt>
                <c:pt idx="4429">
                  <c:v>9.9269988390236503E-3</c:v>
                </c:pt>
                <c:pt idx="4430">
                  <c:v>1.1595392612315559E-2</c:v>
                </c:pt>
                <c:pt idx="4431">
                  <c:v>8.6154995319668304E-3</c:v>
                </c:pt>
                <c:pt idx="4432">
                  <c:v>7.6611664376827864E-3</c:v>
                </c:pt>
                <c:pt idx="4433">
                  <c:v>1.2094494533328157E-2</c:v>
                </c:pt>
                <c:pt idx="4434">
                  <c:v>9.7032402049754551E-3</c:v>
                </c:pt>
                <c:pt idx="4435">
                  <c:v>7.3995202351294911E-3</c:v>
                </c:pt>
                <c:pt idx="4436">
                  <c:v>6.593958434018117E-3</c:v>
                </c:pt>
                <c:pt idx="4437">
                  <c:v>1.0720899468110617E-2</c:v>
                </c:pt>
                <c:pt idx="4438">
                  <c:v>9.6977190850078866E-3</c:v>
                </c:pt>
                <c:pt idx="4439">
                  <c:v>4.9031964781691868E-3</c:v>
                </c:pt>
                <c:pt idx="4440">
                  <c:v>8.9385341457708396E-3</c:v>
                </c:pt>
                <c:pt idx="4441">
                  <c:v>1.2350373445193462E-2</c:v>
                </c:pt>
                <c:pt idx="4442">
                  <c:v>1.3105308247594221E-2</c:v>
                </c:pt>
                <c:pt idx="4443">
                  <c:v>1.7896476475144904E-2</c:v>
                </c:pt>
                <c:pt idx="4444">
                  <c:v>1.4307539432906774E-2</c:v>
                </c:pt>
                <c:pt idx="4445">
                  <c:v>1.5186589982512507E-2</c:v>
                </c:pt>
                <c:pt idx="4446">
                  <c:v>1.1234972754568513E-2</c:v>
                </c:pt>
                <c:pt idx="4447">
                  <c:v>1.2803913462569077E-2</c:v>
                </c:pt>
                <c:pt idx="4448">
                  <c:v>1.3540380884595632E-2</c:v>
                </c:pt>
                <c:pt idx="4449">
                  <c:v>1.2595132938759974E-2</c:v>
                </c:pt>
                <c:pt idx="4450">
                  <c:v>1.1351761239656488E-2</c:v>
                </c:pt>
                <c:pt idx="4451">
                  <c:v>1.0828930761462309E-2</c:v>
                </c:pt>
                <c:pt idx="4452">
                  <c:v>1.3093930705368956E-2</c:v>
                </c:pt>
                <c:pt idx="4453">
                  <c:v>1.6874625779041197E-2</c:v>
                </c:pt>
                <c:pt idx="4454">
                  <c:v>9.7936916372176261E-3</c:v>
                </c:pt>
                <c:pt idx="4455">
                  <c:v>1.0102273737294849E-2</c:v>
                </c:pt>
                <c:pt idx="4456">
                  <c:v>9.6892249172304875E-3</c:v>
                </c:pt>
                <c:pt idx="4457">
                  <c:v>1.3453232799422593E-2</c:v>
                </c:pt>
                <c:pt idx="4458">
                  <c:v>1.3449443355517034E-2</c:v>
                </c:pt>
                <c:pt idx="4459">
                  <c:v>8.5656823012550121E-3</c:v>
                </c:pt>
                <c:pt idx="4460">
                  <c:v>6.1981090301262663E-3</c:v>
                </c:pt>
                <c:pt idx="4461">
                  <c:v>7.9793684059135134E-3</c:v>
                </c:pt>
                <c:pt idx="4462">
                  <c:v>1.2556740140490661E-2</c:v>
                </c:pt>
                <c:pt idx="4463">
                  <c:v>8.4464383712497017E-3</c:v>
                </c:pt>
                <c:pt idx="4464">
                  <c:v>6.9197819322976712E-3</c:v>
                </c:pt>
                <c:pt idx="4465">
                  <c:v>4.5801533798530136E-3</c:v>
                </c:pt>
                <c:pt idx="4466">
                  <c:v>6.3188278412677759E-3</c:v>
                </c:pt>
                <c:pt idx="4467">
                  <c:v>2.7896151237416442E-3</c:v>
                </c:pt>
                <c:pt idx="4468">
                  <c:v>3.6647059180591351E-3</c:v>
                </c:pt>
                <c:pt idx="4469">
                  <c:v>3.426493807323126E-3</c:v>
                </c:pt>
                <c:pt idx="4470">
                  <c:v>2.9449323177998211E-3</c:v>
                </c:pt>
                <c:pt idx="4471">
                  <c:v>2.5530811563544012E-3</c:v>
                </c:pt>
                <c:pt idx="4472">
                  <c:v>3.2416063072917291E-3</c:v>
                </c:pt>
                <c:pt idx="4473">
                  <c:v>2.6126584165937945E-3</c:v>
                </c:pt>
                <c:pt idx="4474">
                  <c:v>2.4874503661783324E-3</c:v>
                </c:pt>
                <c:pt idx="4475">
                  <c:v>2.1950137569119064E-3</c:v>
                </c:pt>
                <c:pt idx="4476">
                  <c:v>2.2040878672370517E-3</c:v>
                </c:pt>
                <c:pt idx="4477">
                  <c:v>3.1252031743251056E-3</c:v>
                </c:pt>
                <c:pt idx="4478">
                  <c:v>3.6720268246613827E-3</c:v>
                </c:pt>
                <c:pt idx="4479">
                  <c:v>3.5682306796562804E-3</c:v>
                </c:pt>
                <c:pt idx="4480">
                  <c:v>2.523721239406898E-3</c:v>
                </c:pt>
                <c:pt idx="4481">
                  <c:v>4.2375167526478739E-3</c:v>
                </c:pt>
                <c:pt idx="4482">
                  <c:v>3.4902595833807134E-3</c:v>
                </c:pt>
                <c:pt idx="4483">
                  <c:v>3.0152382271656734E-3</c:v>
                </c:pt>
                <c:pt idx="4484">
                  <c:v>3.4269246885791243E-3</c:v>
                </c:pt>
                <c:pt idx="4485">
                  <c:v>3.6298222563669407E-3</c:v>
                </c:pt>
                <c:pt idx="4486">
                  <c:v>4.8370609383098367E-3</c:v>
                </c:pt>
                <c:pt idx="4487">
                  <c:v>3.3933146667756305E-3</c:v>
                </c:pt>
                <c:pt idx="4488">
                  <c:v>3.9049394807659592E-3</c:v>
                </c:pt>
                <c:pt idx="4489">
                  <c:v>0.15816761905079818</c:v>
                </c:pt>
                <c:pt idx="4490">
                  <c:v>6.634592814311828E-3</c:v>
                </c:pt>
                <c:pt idx="4491">
                  <c:v>5.1483254551913859E-3</c:v>
                </c:pt>
                <c:pt idx="4492">
                  <c:v>1.5967175025230707E-2</c:v>
                </c:pt>
                <c:pt idx="4493">
                  <c:v>6.6683806143870991E-3</c:v>
                </c:pt>
                <c:pt idx="4494">
                  <c:v>5.886310925170694E-3</c:v>
                </c:pt>
                <c:pt idx="4495">
                  <c:v>5.2659039126064259E-3</c:v>
                </c:pt>
                <c:pt idx="4496">
                  <c:v>7.31283918406519E-3</c:v>
                </c:pt>
                <c:pt idx="4497">
                  <c:v>8.5580176046891453E-3</c:v>
                </c:pt>
                <c:pt idx="4498">
                  <c:v>4.956011786358433E-3</c:v>
                </c:pt>
                <c:pt idx="4499">
                  <c:v>2.6661846365809315E-3</c:v>
                </c:pt>
                <c:pt idx="4500">
                  <c:v>5.04659869945134E-3</c:v>
                </c:pt>
                <c:pt idx="4501">
                  <c:v>3.2799693928122291E-3</c:v>
                </c:pt>
                <c:pt idx="4502">
                  <c:v>8.4886033596184296E-3</c:v>
                </c:pt>
                <c:pt idx="4503">
                  <c:v>2.879792146551723E-3</c:v>
                </c:pt>
                <c:pt idx="4504">
                  <c:v>5.3401250148074559E-3</c:v>
                </c:pt>
                <c:pt idx="4505">
                  <c:v>3.0717335013595048E-3</c:v>
                </c:pt>
                <c:pt idx="4506">
                  <c:v>4.8924608739759389E-3</c:v>
                </c:pt>
                <c:pt idx="4507">
                  <c:v>4.8658354303515693E-3</c:v>
                </c:pt>
                <c:pt idx="4508">
                  <c:v>4.181172936040551E-3</c:v>
                </c:pt>
                <c:pt idx="4509">
                  <c:v>4.4623890943303289E-3</c:v>
                </c:pt>
                <c:pt idx="4510">
                  <c:v>2.9587356028180842E-3</c:v>
                </c:pt>
                <c:pt idx="4511">
                  <c:v>1.7368535361339185E-2</c:v>
                </c:pt>
                <c:pt idx="4512">
                  <c:v>8.4051212299303246E-3</c:v>
                </c:pt>
                <c:pt idx="4513">
                  <c:v>8.7381022213146239E-3</c:v>
                </c:pt>
                <c:pt idx="4514">
                  <c:v>7.6812208978287938E-3</c:v>
                </c:pt>
                <c:pt idx="4515">
                  <c:v>9.5979021197112949E-3</c:v>
                </c:pt>
                <c:pt idx="4516">
                  <c:v>1.0511962737213791E-2</c:v>
                </c:pt>
                <c:pt idx="4517">
                  <c:v>1.1511236808538383E-2</c:v>
                </c:pt>
                <c:pt idx="4518">
                  <c:v>9.1091050145767315E-3</c:v>
                </c:pt>
                <c:pt idx="4519">
                  <c:v>5.4876714949719275E-3</c:v>
                </c:pt>
                <c:pt idx="4520">
                  <c:v>1.3904361315624383E-2</c:v>
                </c:pt>
                <c:pt idx="4521">
                  <c:v>8.1034295836859838E-3</c:v>
                </c:pt>
                <c:pt idx="4522">
                  <c:v>9.2711065678807783E-3</c:v>
                </c:pt>
                <c:pt idx="4523">
                  <c:v>8.6576481104361832E-3</c:v>
                </c:pt>
                <c:pt idx="4524">
                  <c:v>7.270132797667965E-3</c:v>
                </c:pt>
                <c:pt idx="4525">
                  <c:v>6.0319587796443478E-3</c:v>
                </c:pt>
                <c:pt idx="4526">
                  <c:v>5.3457018107042845E-3</c:v>
                </c:pt>
                <c:pt idx="4527">
                  <c:v>6.7808451115203899E-3</c:v>
                </c:pt>
                <c:pt idx="4528">
                  <c:v>1.043226058511101E-2</c:v>
                </c:pt>
                <c:pt idx="4529">
                  <c:v>8.8321592929598725E-3</c:v>
                </c:pt>
                <c:pt idx="4530">
                  <c:v>1.0162521407567271E-2</c:v>
                </c:pt>
                <c:pt idx="4531">
                  <c:v>6.2854408887476161E-3</c:v>
                </c:pt>
                <c:pt idx="4532">
                  <c:v>7.9085822344826338E-3</c:v>
                </c:pt>
                <c:pt idx="4533">
                  <c:v>1.041572479597243E-2</c:v>
                </c:pt>
                <c:pt idx="4534">
                  <c:v>8.4328084085850113E-3</c:v>
                </c:pt>
                <c:pt idx="4535">
                  <c:v>1.2816141937047288E-2</c:v>
                </c:pt>
                <c:pt idx="4536">
                  <c:v>9.2825847002753828E-3</c:v>
                </c:pt>
                <c:pt idx="4537">
                  <c:v>8.542687805731709E-3</c:v>
                </c:pt>
                <c:pt idx="4538">
                  <c:v>1.0324554654084092E-2</c:v>
                </c:pt>
                <c:pt idx="4539">
                  <c:v>7.8757437675853019E-3</c:v>
                </c:pt>
                <c:pt idx="4540">
                  <c:v>1.2914800479843464E-2</c:v>
                </c:pt>
                <c:pt idx="4541">
                  <c:v>1.0572577453720138E-2</c:v>
                </c:pt>
                <c:pt idx="4542">
                  <c:v>1.0791228774575152E-2</c:v>
                </c:pt>
                <c:pt idx="4543">
                  <c:v>7.0672200926176999E-3</c:v>
                </c:pt>
                <c:pt idx="4544">
                  <c:v>1.1233703141956033E-2</c:v>
                </c:pt>
                <c:pt idx="4545">
                  <c:v>1.793898409153219E-2</c:v>
                </c:pt>
                <c:pt idx="4546">
                  <c:v>8.7525738659766684E-3</c:v>
                </c:pt>
                <c:pt idx="4547">
                  <c:v>6.3261041441171409E-3</c:v>
                </c:pt>
                <c:pt idx="4548">
                  <c:v>6.6602546746990666E-3</c:v>
                </c:pt>
                <c:pt idx="4549">
                  <c:v>6.2144461332287869E-2</c:v>
                </c:pt>
                <c:pt idx="4550">
                  <c:v>6.5771240047952054E-2</c:v>
                </c:pt>
                <c:pt idx="4551">
                  <c:v>4.1153575434128981E-3</c:v>
                </c:pt>
                <c:pt idx="4552">
                  <c:v>5.3821637114165946E-3</c:v>
                </c:pt>
                <c:pt idx="4553">
                  <c:v>2.1301931688809893E-3</c:v>
                </c:pt>
                <c:pt idx="4554">
                  <c:v>5.1036888000403468E-3</c:v>
                </c:pt>
                <c:pt idx="4555">
                  <c:v>1.6411937359252393E-2</c:v>
                </c:pt>
                <c:pt idx="4556">
                  <c:v>7.0390184030651014E-3</c:v>
                </c:pt>
                <c:pt idx="4557">
                  <c:v>4.4989252273464819E-3</c:v>
                </c:pt>
                <c:pt idx="4558">
                  <c:v>8.0812631764101816E-3</c:v>
                </c:pt>
                <c:pt idx="4559">
                  <c:v>1.8249742710867091E-3</c:v>
                </c:pt>
                <c:pt idx="4560">
                  <c:v>5.4456430105247157E-3</c:v>
                </c:pt>
                <c:pt idx="4561">
                  <c:v>1.2357549393000065E-2</c:v>
                </c:pt>
                <c:pt idx="4562">
                  <c:v>5.4177647312748179E-3</c:v>
                </c:pt>
                <c:pt idx="4563">
                  <c:v>2.9163327441304784E-2</c:v>
                </c:pt>
                <c:pt idx="4564">
                  <c:v>3.0618150156244113E-3</c:v>
                </c:pt>
                <c:pt idx="4565">
                  <c:v>6.6384421900369441E-3</c:v>
                </c:pt>
                <c:pt idx="4566">
                  <c:v>2.2282845679093099E-3</c:v>
                </c:pt>
                <c:pt idx="4567">
                  <c:v>3.4437287241272123E-3</c:v>
                </c:pt>
                <c:pt idx="4568">
                  <c:v>2.8301755274895125E-3</c:v>
                </c:pt>
                <c:pt idx="4569">
                  <c:v>3.4868130240266562E-3</c:v>
                </c:pt>
                <c:pt idx="4570">
                  <c:v>1.9987937635416557E-3</c:v>
                </c:pt>
                <c:pt idx="4571">
                  <c:v>3.158833950862062E-3</c:v>
                </c:pt>
                <c:pt idx="4572">
                  <c:v>2.6592783982361465E-3</c:v>
                </c:pt>
                <c:pt idx="4573">
                  <c:v>4.0852426000205985E-3</c:v>
                </c:pt>
                <c:pt idx="4574">
                  <c:v>4.2353663594674896E-3</c:v>
                </c:pt>
                <c:pt idx="4575">
                  <c:v>4.0030612018005793E-3</c:v>
                </c:pt>
                <c:pt idx="4576">
                  <c:v>6.1171829566748024E-3</c:v>
                </c:pt>
                <c:pt idx="4577">
                  <c:v>1.3430916709326828E-2</c:v>
                </c:pt>
                <c:pt idx="4578">
                  <c:v>1.1049146630503305E-2</c:v>
                </c:pt>
                <c:pt idx="4579">
                  <c:v>1.2120258146505634E-2</c:v>
                </c:pt>
                <c:pt idx="4580">
                  <c:v>7.270132797667965E-3</c:v>
                </c:pt>
                <c:pt idx="4581">
                  <c:v>6.2443457310945487E-3</c:v>
                </c:pt>
                <c:pt idx="4582">
                  <c:v>9.0031973219912558E-3</c:v>
                </c:pt>
                <c:pt idx="4583">
                  <c:v>1.2836381414097341E-2</c:v>
                </c:pt>
                <c:pt idx="4584">
                  <c:v>1.6043356685434135E-2</c:v>
                </c:pt>
                <c:pt idx="4585">
                  <c:v>1.0652253861253831E-2</c:v>
                </c:pt>
                <c:pt idx="4586">
                  <c:v>6.8774643465789355E-3</c:v>
                </c:pt>
                <c:pt idx="4587">
                  <c:v>9.6603435040450297E-3</c:v>
                </c:pt>
                <c:pt idx="4588">
                  <c:v>6.4793062131219834E-3</c:v>
                </c:pt>
                <c:pt idx="4589">
                  <c:v>9.3595228666549322E-3</c:v>
                </c:pt>
                <c:pt idx="4590">
                  <c:v>6.7291065076331633E-3</c:v>
                </c:pt>
                <c:pt idx="4591">
                  <c:v>1.1057614242051126E-2</c:v>
                </c:pt>
                <c:pt idx="4592">
                  <c:v>4.9753328554137327E-3</c:v>
                </c:pt>
                <c:pt idx="4593">
                  <c:v>4.4142426723539361E-3</c:v>
                </c:pt>
                <c:pt idx="4594">
                  <c:v>9.7733098601102599E-3</c:v>
                </c:pt>
                <c:pt idx="4595">
                  <c:v>6.7205540786491524E-3</c:v>
                </c:pt>
                <c:pt idx="4596">
                  <c:v>3.9178515001843271E-3</c:v>
                </c:pt>
                <c:pt idx="4597">
                  <c:v>3.0048871513319152E-3</c:v>
                </c:pt>
                <c:pt idx="4598">
                  <c:v>5.9025916395233141E-3</c:v>
                </c:pt>
                <c:pt idx="4599">
                  <c:v>4.1857920600803587E-2</c:v>
                </c:pt>
                <c:pt idx="4600">
                  <c:v>5.1993944620843079E-3</c:v>
                </c:pt>
                <c:pt idx="4601">
                  <c:v>7.7516175224091773E-3</c:v>
                </c:pt>
                <c:pt idx="4602">
                  <c:v>0.14283354603331513</c:v>
                </c:pt>
                <c:pt idx="4603">
                  <c:v>1.6520652833081666E-2</c:v>
                </c:pt>
                <c:pt idx="4604">
                  <c:v>2.4926321049632731E-3</c:v>
                </c:pt>
                <c:pt idx="4605">
                  <c:v>5.7873281853774985E-3</c:v>
                </c:pt>
                <c:pt idx="4606">
                  <c:v>5.3807676234224756E-2</c:v>
                </c:pt>
                <c:pt idx="4607">
                  <c:v>4.9955117209744861E-3</c:v>
                </c:pt>
                <c:pt idx="4608">
                  <c:v>9.1818218478679665E-3</c:v>
                </c:pt>
                <c:pt idx="4609">
                  <c:v>1.3498282543808649E-2</c:v>
                </c:pt>
                <c:pt idx="4610">
                  <c:v>1.6635192772760078E-2</c:v>
                </c:pt>
                <c:pt idx="4611">
                  <c:v>1.1570866473880425E-2</c:v>
                </c:pt>
                <c:pt idx="4612">
                  <c:v>9.3344450721733509E-3</c:v>
                </c:pt>
                <c:pt idx="4613">
                  <c:v>8.6674396188951616E-3</c:v>
                </c:pt>
                <c:pt idx="4614">
                  <c:v>9.8242625094922334E-3</c:v>
                </c:pt>
                <c:pt idx="4615">
                  <c:v>1.078868694982711E-2</c:v>
                </c:pt>
                <c:pt idx="4616">
                  <c:v>9.6437782974197889E-3</c:v>
                </c:pt>
                <c:pt idx="4617">
                  <c:v>8.0748688102097021E-3</c:v>
                </c:pt>
                <c:pt idx="4618">
                  <c:v>7.473377626600425E-3</c:v>
                </c:pt>
                <c:pt idx="4619">
                  <c:v>8.2099830573983609E-3</c:v>
                </c:pt>
                <c:pt idx="4620">
                  <c:v>8.9547008424602625E-3</c:v>
                </c:pt>
                <c:pt idx="4621">
                  <c:v>8.254727721768728E-3</c:v>
                </c:pt>
                <c:pt idx="4622">
                  <c:v>4.556946886491952E-3</c:v>
                </c:pt>
                <c:pt idx="4623">
                  <c:v>4.660507025780556E-3</c:v>
                </c:pt>
                <c:pt idx="4624">
                  <c:v>7.1509597716713979E-3</c:v>
                </c:pt>
                <c:pt idx="4625">
                  <c:v>8.9568279945914722E-3</c:v>
                </c:pt>
                <c:pt idx="4626">
                  <c:v>6.6572608691188098E-3</c:v>
                </c:pt>
                <c:pt idx="4627">
                  <c:v>5.3924582821508662E-3</c:v>
                </c:pt>
                <c:pt idx="4628">
                  <c:v>7.5732572394585588E-3</c:v>
                </c:pt>
                <c:pt idx="4629">
                  <c:v>7.5053928243997235E-3</c:v>
                </c:pt>
                <c:pt idx="4630">
                  <c:v>1.6911385649951743E-2</c:v>
                </c:pt>
                <c:pt idx="4631">
                  <c:v>1.020876218926923E-2</c:v>
                </c:pt>
                <c:pt idx="4632">
                  <c:v>1.3425021701612356E-2</c:v>
                </c:pt>
                <c:pt idx="4633">
                  <c:v>1.2947681680908327E-2</c:v>
                </c:pt>
                <c:pt idx="4634">
                  <c:v>8.9159848532074596E-3</c:v>
                </c:pt>
                <c:pt idx="4635">
                  <c:v>7.5608802437476964E-3</c:v>
                </c:pt>
                <c:pt idx="4636">
                  <c:v>9.4156238752079943E-3</c:v>
                </c:pt>
                <c:pt idx="4637">
                  <c:v>9.6246638123038356E-3</c:v>
                </c:pt>
                <c:pt idx="4638">
                  <c:v>6.0756436128323902E-3</c:v>
                </c:pt>
                <c:pt idx="4639">
                  <c:v>1.1543378638242693E-2</c:v>
                </c:pt>
                <c:pt idx="4640">
                  <c:v>8.420881840342568E-3</c:v>
                </c:pt>
                <c:pt idx="4641">
                  <c:v>8.613796473120194E-3</c:v>
                </c:pt>
                <c:pt idx="4642">
                  <c:v>8.8687551822568197E-3</c:v>
                </c:pt>
                <c:pt idx="4643">
                  <c:v>1.4972658422153716E-2</c:v>
                </c:pt>
                <c:pt idx="4644">
                  <c:v>8.8896049495067221E-3</c:v>
                </c:pt>
                <c:pt idx="4645">
                  <c:v>5.5069689263314474E-3</c:v>
                </c:pt>
                <c:pt idx="4646">
                  <c:v>1.7106411549444263E-2</c:v>
                </c:pt>
                <c:pt idx="4647">
                  <c:v>1.04305646357133E-2</c:v>
                </c:pt>
                <c:pt idx="4648">
                  <c:v>9.1512057178279316E-3</c:v>
                </c:pt>
                <c:pt idx="4649">
                  <c:v>9.872661989995599E-3</c:v>
                </c:pt>
                <c:pt idx="4650">
                  <c:v>8.9589551363041444E-3</c:v>
                </c:pt>
                <c:pt idx="4651">
                  <c:v>8.8883284619097943E-3</c:v>
                </c:pt>
                <c:pt idx="4652">
                  <c:v>9.9690203337227216E-3</c:v>
                </c:pt>
                <c:pt idx="4653">
                  <c:v>8.7385278648053639E-3</c:v>
                </c:pt>
                <c:pt idx="4654">
                  <c:v>7.4281254550534088E-3</c:v>
                </c:pt>
                <c:pt idx="4655">
                  <c:v>2.0116301314125007E-2</c:v>
                </c:pt>
                <c:pt idx="4656">
                  <c:v>7.5322837667958975E-3</c:v>
                </c:pt>
                <c:pt idx="4657">
                  <c:v>3.7254226460251053E-3</c:v>
                </c:pt>
                <c:pt idx="4658">
                  <c:v>4.7159294863463761E-3</c:v>
                </c:pt>
                <c:pt idx="4659">
                  <c:v>4.9980876788809974E-3</c:v>
                </c:pt>
                <c:pt idx="4660">
                  <c:v>3.7805340280982658E-3</c:v>
                </c:pt>
                <c:pt idx="4661">
                  <c:v>6.5379195255224733E-3</c:v>
                </c:pt>
                <c:pt idx="4662">
                  <c:v>5.781328506327477E-3</c:v>
                </c:pt>
                <c:pt idx="4663">
                  <c:v>6.4797340761802895E-3</c:v>
                </c:pt>
                <c:pt idx="4664">
                  <c:v>8.8534363480364045E-3</c:v>
                </c:pt>
                <c:pt idx="4665">
                  <c:v>6.4510663192347368E-3</c:v>
                </c:pt>
                <c:pt idx="4666">
                  <c:v>4.7618946887354255E-3</c:v>
                </c:pt>
                <c:pt idx="4667">
                  <c:v>4.76490158851449E-3</c:v>
                </c:pt>
                <c:pt idx="4668">
                  <c:v>6.3243920838261022E-3</c:v>
                </c:pt>
                <c:pt idx="4669">
                  <c:v>4.1351462263936279E-3</c:v>
                </c:pt>
                <c:pt idx="4670">
                  <c:v>6.9667966363825776E-3</c:v>
                </c:pt>
                <c:pt idx="4671">
                  <c:v>4.7919627497262441E-3</c:v>
                </c:pt>
                <c:pt idx="4672">
                  <c:v>3.8584530320125345E-3</c:v>
                </c:pt>
                <c:pt idx="4673">
                  <c:v>9.4908388554493482E-3</c:v>
                </c:pt>
                <c:pt idx="4674">
                  <c:v>7.9793684059135134E-3</c:v>
                </c:pt>
                <c:pt idx="4675">
                  <c:v>8.6989412354243432E-3</c:v>
                </c:pt>
                <c:pt idx="4676">
                  <c:v>8.3753022941651187E-3</c:v>
                </c:pt>
                <c:pt idx="4677">
                  <c:v>8.2500404016728132E-3</c:v>
                </c:pt>
                <c:pt idx="4678">
                  <c:v>1.2662206716180185E-2</c:v>
                </c:pt>
                <c:pt idx="4679">
                  <c:v>8.9266214578446156E-3</c:v>
                </c:pt>
                <c:pt idx="4680">
                  <c:v>9.401599302459443E-3</c:v>
                </c:pt>
                <c:pt idx="4681">
                  <c:v>1.0302925439599538E-2</c:v>
                </c:pt>
                <c:pt idx="4682">
                  <c:v>1.0964461433484523E-2</c:v>
                </c:pt>
                <c:pt idx="4683">
                  <c:v>8.5405586241905345E-3</c:v>
                </c:pt>
                <c:pt idx="4684">
                  <c:v>9.3170172774121353E-3</c:v>
                </c:pt>
                <c:pt idx="4685">
                  <c:v>1.2381609058644895E-2</c:v>
                </c:pt>
                <c:pt idx="4686">
                  <c:v>1.2445339625868052E-2</c:v>
                </c:pt>
                <c:pt idx="4687">
                  <c:v>4.0194126668704616E-3</c:v>
                </c:pt>
                <c:pt idx="4688">
                  <c:v>7.8979206667942493E-3</c:v>
                </c:pt>
                <c:pt idx="4689">
                  <c:v>4.7129222474815912E-3</c:v>
                </c:pt>
                <c:pt idx="4690">
                  <c:v>6.3706153428729814E-3</c:v>
                </c:pt>
                <c:pt idx="4691">
                  <c:v>1.1211695933592791E-2</c:v>
                </c:pt>
                <c:pt idx="4692">
                  <c:v>8.9074753819276334E-3</c:v>
                </c:pt>
                <c:pt idx="4693">
                  <c:v>5.122574098655572E-3</c:v>
                </c:pt>
                <c:pt idx="4694">
                  <c:v>8.9266214578446156E-3</c:v>
                </c:pt>
                <c:pt idx="4695">
                  <c:v>8.5422619702585963E-3</c:v>
                </c:pt>
                <c:pt idx="4696">
                  <c:v>5.2611842228425859E-3</c:v>
                </c:pt>
                <c:pt idx="4697">
                  <c:v>4.9044847328389837E-3</c:v>
                </c:pt>
                <c:pt idx="4698">
                  <c:v>4.4503529892243581E-3</c:v>
                </c:pt>
                <c:pt idx="4699">
                  <c:v>4.6055072050994886E-3</c:v>
                </c:pt>
                <c:pt idx="4700">
                  <c:v>5.8288951138132841E-3</c:v>
                </c:pt>
                <c:pt idx="4701">
                  <c:v>0.17634365555835024</c:v>
                </c:pt>
                <c:pt idx="4702">
                  <c:v>7.638123999776111E-3</c:v>
                </c:pt>
                <c:pt idx="4703">
                  <c:v>1.2057324660627958E-2</c:v>
                </c:pt>
                <c:pt idx="4704">
                  <c:v>9.2957629226371168E-3</c:v>
                </c:pt>
                <c:pt idx="4705">
                  <c:v>9.5694394624534114E-3</c:v>
                </c:pt>
                <c:pt idx="4706">
                  <c:v>8.0164625750867059E-3</c:v>
                </c:pt>
                <c:pt idx="4707">
                  <c:v>8.2611194403712836E-3</c:v>
                </c:pt>
                <c:pt idx="4708">
                  <c:v>1.1257825146935348E-2</c:v>
                </c:pt>
                <c:pt idx="4709">
                  <c:v>1.0431836598382493E-2</c:v>
                </c:pt>
                <c:pt idx="4710">
                  <c:v>8.7104344995574089E-3</c:v>
                </c:pt>
                <c:pt idx="4711">
                  <c:v>9.6667145691238365E-3</c:v>
                </c:pt>
                <c:pt idx="4712">
                  <c:v>1.0239303858867678E-2</c:v>
                </c:pt>
                <c:pt idx="4713">
                  <c:v>9.3501719939548759E-3</c:v>
                </c:pt>
                <c:pt idx="4714">
                  <c:v>9.2477242486584468E-3</c:v>
                </c:pt>
                <c:pt idx="4715">
                  <c:v>9.4007493137975E-3</c:v>
                </c:pt>
                <c:pt idx="4716">
                  <c:v>6.6238999249415721E-3</c:v>
                </c:pt>
                <c:pt idx="4717">
                  <c:v>6.7774245676611366E-3</c:v>
                </c:pt>
                <c:pt idx="4718">
                  <c:v>5.9664232896846255E-3</c:v>
                </c:pt>
                <c:pt idx="4719">
                  <c:v>6.4206849890756706E-3</c:v>
                </c:pt>
                <c:pt idx="4720">
                  <c:v>6.2854408887476161E-3</c:v>
                </c:pt>
                <c:pt idx="4721">
                  <c:v>8.033942636953376E-3</c:v>
                </c:pt>
                <c:pt idx="4722">
                  <c:v>7.1543773748089434E-3</c:v>
                </c:pt>
                <c:pt idx="4723">
                  <c:v>6.2901494605911122E-3</c:v>
                </c:pt>
                <c:pt idx="4724">
                  <c:v>6.7141396463833852E-3</c:v>
                </c:pt>
                <c:pt idx="4725">
                  <c:v>7.7810527275480913E-3</c:v>
                </c:pt>
                <c:pt idx="4726">
                  <c:v>1.3065696257434008E-2</c:v>
                </c:pt>
                <c:pt idx="4727">
                  <c:v>1.1613152054854135E-2</c:v>
                </c:pt>
                <c:pt idx="4728">
                  <c:v>1.2018884287107292E-2</c:v>
                </c:pt>
                <c:pt idx="4729">
                  <c:v>8.2116877005075466E-3</c:v>
                </c:pt>
                <c:pt idx="4730">
                  <c:v>1.3220331101087718E-2</c:v>
                </c:pt>
                <c:pt idx="4731">
                  <c:v>1.4247023529421917E-2</c:v>
                </c:pt>
                <c:pt idx="4732">
                  <c:v>1.5242781973907472E-2</c:v>
                </c:pt>
                <c:pt idx="4733">
                  <c:v>1.6044193772307563E-2</c:v>
                </c:pt>
                <c:pt idx="4734">
                  <c:v>7.2611639229486994E-3</c:v>
                </c:pt>
                <c:pt idx="4735">
                  <c:v>8.0006872811379144E-3</c:v>
                </c:pt>
                <c:pt idx="4736">
                  <c:v>8.2888158006696744E-3</c:v>
                </c:pt>
                <c:pt idx="4737">
                  <c:v>1.4426025323131381E-2</c:v>
                </c:pt>
                <c:pt idx="4738">
                  <c:v>1.3880385864186343E-2</c:v>
                </c:pt>
                <c:pt idx="4739">
                  <c:v>1.596173296668503E-2</c:v>
                </c:pt>
                <c:pt idx="4740">
                  <c:v>1.8132716113185794E-2</c:v>
                </c:pt>
                <c:pt idx="4741">
                  <c:v>1.343302204983305E-2</c:v>
                </c:pt>
                <c:pt idx="4742">
                  <c:v>1.027747792571824E-2</c:v>
                </c:pt>
                <c:pt idx="4743">
                  <c:v>7.6658601177444627E-3</c:v>
                </c:pt>
                <c:pt idx="4744">
                  <c:v>1.0042017707981497E-2</c:v>
                </c:pt>
                <c:pt idx="4745">
                  <c:v>1.0366113650613813E-2</c:v>
                </c:pt>
                <c:pt idx="4746">
                  <c:v>1.4316363964338262E-2</c:v>
                </c:pt>
                <c:pt idx="4747">
                  <c:v>1.0270267525686895E-2</c:v>
                </c:pt>
                <c:pt idx="4748">
                  <c:v>1.0861123125973036E-2</c:v>
                </c:pt>
                <c:pt idx="4749">
                  <c:v>1.0635302658272644E-2</c:v>
                </c:pt>
                <c:pt idx="4750">
                  <c:v>1.0580206678739454E-2</c:v>
                </c:pt>
                <c:pt idx="4751">
                  <c:v>1.1459635738752956E-2</c:v>
                </c:pt>
                <c:pt idx="4752">
                  <c:v>5.0350080633207632E-3</c:v>
                </c:pt>
                <c:pt idx="4753">
                  <c:v>4.9422718365016638E-3</c:v>
                </c:pt>
                <c:pt idx="4754">
                  <c:v>6.8642125376105548E-3</c:v>
                </c:pt>
                <c:pt idx="4755">
                  <c:v>4.4598099570315334E-3</c:v>
                </c:pt>
                <c:pt idx="4756">
                  <c:v>5.0006636215087557E-3</c:v>
                </c:pt>
                <c:pt idx="4757">
                  <c:v>3.9763811738916782E-3</c:v>
                </c:pt>
                <c:pt idx="4758">
                  <c:v>2.2256921287476346E-3</c:v>
                </c:pt>
                <c:pt idx="4759">
                  <c:v>2.7520717998372043E-3</c:v>
                </c:pt>
                <c:pt idx="4760">
                  <c:v>3.2670383942890071E-3</c:v>
                </c:pt>
                <c:pt idx="4761">
                  <c:v>4.7623242471213096E-3</c:v>
                </c:pt>
                <c:pt idx="4762">
                  <c:v>4.2203133090649141E-3</c:v>
                </c:pt>
                <c:pt idx="4763">
                  <c:v>2.2706255504471918E-3</c:v>
                </c:pt>
                <c:pt idx="4764">
                  <c:v>3.2273809311867351E-3</c:v>
                </c:pt>
                <c:pt idx="4765">
                  <c:v>5.3847373769774602E-3</c:v>
                </c:pt>
                <c:pt idx="4766">
                  <c:v>6.2370680582991573E-3</c:v>
                </c:pt>
                <c:pt idx="4767">
                  <c:v>5.9441475379252724E-3</c:v>
                </c:pt>
                <c:pt idx="4768">
                  <c:v>6.4322387030959919E-3</c:v>
                </c:pt>
                <c:pt idx="4769">
                  <c:v>7.9192435404447439E-3</c:v>
                </c:pt>
              </c:numCache>
            </c:numRef>
          </c:val>
        </c:ser>
        <c:ser>
          <c:idx val="1"/>
          <c:order val="1"/>
          <c:tx>
            <c:strRef>
              <c:f>stat.1800!$D$1</c:f>
              <c:strCache>
                <c:ptCount val="1"/>
                <c:pt idx="0">
                  <c:v>Valid (log10)</c:v>
                </c:pt>
              </c:strCache>
            </c:strRef>
          </c:tx>
          <c:marker>
            <c:symbol val="none"/>
          </c:marker>
          <c:val>
            <c:numRef>
              <c:f>stat.1800!$D$2:$D$4771</c:f>
              <c:numCache>
                <c:formatCode>General</c:formatCode>
                <c:ptCount val="4770"/>
                <c:pt idx="0">
                  <c:v>0.58825982662433263</c:v>
                </c:pt>
                <c:pt idx="1">
                  <c:v>0.65468006998313366</c:v>
                </c:pt>
                <c:pt idx="2">
                  <c:v>0.64768745637293956</c:v>
                </c:pt>
                <c:pt idx="3">
                  <c:v>0.6239454645490824</c:v>
                </c:pt>
                <c:pt idx="4">
                  <c:v>0.5983420878118163</c:v>
                </c:pt>
                <c:pt idx="5">
                  <c:v>0.68326665281546239</c:v>
                </c:pt>
                <c:pt idx="6">
                  <c:v>0.33122862969544969</c:v>
                </c:pt>
                <c:pt idx="7">
                  <c:v>0.65861755397923283</c:v>
                </c:pt>
                <c:pt idx="8">
                  <c:v>0.50284045897664509</c:v>
                </c:pt>
                <c:pt idx="9">
                  <c:v>0.60157711323608876</c:v>
                </c:pt>
                <c:pt idx="10">
                  <c:v>0.57780029209181349</c:v>
                </c:pt>
                <c:pt idx="11">
                  <c:v>0.45549337913856103</c:v>
                </c:pt>
                <c:pt idx="12">
                  <c:v>0.59904991202433977</c:v>
                </c:pt>
                <c:pt idx="13">
                  <c:v>0.57475703296095704</c:v>
                </c:pt>
                <c:pt idx="14">
                  <c:v>0.44163466004673707</c:v>
                </c:pt>
                <c:pt idx="15">
                  <c:v>0.6120506575116611</c:v>
                </c:pt>
                <c:pt idx="16">
                  <c:v>0.62205769027879454</c:v>
                </c:pt>
                <c:pt idx="17">
                  <c:v>0.4711772535128953</c:v>
                </c:pt>
                <c:pt idx="18">
                  <c:v>0.62517215736118326</c:v>
                </c:pt>
                <c:pt idx="19">
                  <c:v>0.56786495661806713</c:v>
                </c:pt>
                <c:pt idx="20">
                  <c:v>0.45417171549733898</c:v>
                </c:pt>
                <c:pt idx="21">
                  <c:v>0.57556087761994457</c:v>
                </c:pt>
                <c:pt idx="22">
                  <c:v>0.5382239960177313</c:v>
                </c:pt>
                <c:pt idx="23">
                  <c:v>0.54015885240885608</c:v>
                </c:pt>
                <c:pt idx="24">
                  <c:v>0.42387211733649965</c:v>
                </c:pt>
                <c:pt idx="25">
                  <c:v>0.46061763995676969</c:v>
                </c:pt>
                <c:pt idx="26">
                  <c:v>0.51596625386362094</c:v>
                </c:pt>
                <c:pt idx="27">
                  <c:v>0.5236670122599032</c:v>
                </c:pt>
                <c:pt idx="28">
                  <c:v>0.52161593708188347</c:v>
                </c:pt>
                <c:pt idx="29">
                  <c:v>0.54047888643864128</c:v>
                </c:pt>
                <c:pt idx="30">
                  <c:v>0.52363436796124008</c:v>
                </c:pt>
                <c:pt idx="31">
                  <c:v>0.49846535562677818</c:v>
                </c:pt>
                <c:pt idx="32">
                  <c:v>0.52733288108139642</c:v>
                </c:pt>
                <c:pt idx="33">
                  <c:v>0.51418170201709401</c:v>
                </c:pt>
                <c:pt idx="34">
                  <c:v>0.53595265921572643</c:v>
                </c:pt>
                <c:pt idx="35">
                  <c:v>0.507603988791131</c:v>
                </c:pt>
                <c:pt idx="36">
                  <c:v>0.51976737200695933</c:v>
                </c:pt>
                <c:pt idx="37">
                  <c:v>0.44309534091072361</c:v>
                </c:pt>
                <c:pt idx="38">
                  <c:v>0.43725781881387793</c:v>
                </c:pt>
                <c:pt idx="39">
                  <c:v>0.52210305446121885</c:v>
                </c:pt>
                <c:pt idx="40">
                  <c:v>0.55779944028826489</c:v>
                </c:pt>
                <c:pt idx="41">
                  <c:v>0.50623977472153181</c:v>
                </c:pt>
                <c:pt idx="42">
                  <c:v>0.43845041734676243</c:v>
                </c:pt>
                <c:pt idx="43">
                  <c:v>0.50537412499330536</c:v>
                </c:pt>
                <c:pt idx="44">
                  <c:v>0.55420086724660211</c:v>
                </c:pt>
                <c:pt idx="45">
                  <c:v>0.5441774727723131</c:v>
                </c:pt>
                <c:pt idx="46">
                  <c:v>0.55259753106217924</c:v>
                </c:pt>
                <c:pt idx="47">
                  <c:v>0.50981709130091168</c:v>
                </c:pt>
                <c:pt idx="48">
                  <c:v>0.46970231086760361</c:v>
                </c:pt>
                <c:pt idx="49">
                  <c:v>0.54533000602761506</c:v>
                </c:pt>
                <c:pt idx="50">
                  <c:v>0.54459818034313023</c:v>
                </c:pt>
                <c:pt idx="51">
                  <c:v>0.52885142271028063</c:v>
                </c:pt>
                <c:pt idx="52">
                  <c:v>0.55331783358170061</c:v>
                </c:pt>
                <c:pt idx="53">
                  <c:v>0.44825633706506801</c:v>
                </c:pt>
                <c:pt idx="54">
                  <c:v>0.46809184876428317</c:v>
                </c:pt>
                <c:pt idx="55">
                  <c:v>0.54231866191368627</c:v>
                </c:pt>
                <c:pt idx="56">
                  <c:v>0.58878213707885974</c:v>
                </c:pt>
                <c:pt idx="57">
                  <c:v>0.52909295209085161</c:v>
                </c:pt>
                <c:pt idx="58">
                  <c:v>0.50605927982353827</c:v>
                </c:pt>
                <c:pt idx="59">
                  <c:v>0.56220921009312386</c:v>
                </c:pt>
                <c:pt idx="60">
                  <c:v>0.42798341278056212</c:v>
                </c:pt>
                <c:pt idx="61">
                  <c:v>0.60778656893375749</c:v>
                </c:pt>
                <c:pt idx="62">
                  <c:v>0.43009909273137842</c:v>
                </c:pt>
                <c:pt idx="63">
                  <c:v>0.43718973908397246</c:v>
                </c:pt>
                <c:pt idx="64">
                  <c:v>0.60045796790723471</c:v>
                </c:pt>
                <c:pt idx="65">
                  <c:v>0.3592572393551553</c:v>
                </c:pt>
                <c:pt idx="66">
                  <c:v>0.42535224820493212</c:v>
                </c:pt>
                <c:pt idx="67">
                  <c:v>0.61564688613359486</c:v>
                </c:pt>
                <c:pt idx="68">
                  <c:v>0.2391848202619086</c:v>
                </c:pt>
                <c:pt idx="69">
                  <c:v>0.41113312466239466</c:v>
                </c:pt>
                <c:pt idx="70">
                  <c:v>0.61814687439151905</c:v>
                </c:pt>
                <c:pt idx="71">
                  <c:v>0.40661068369737763</c:v>
                </c:pt>
                <c:pt idx="72">
                  <c:v>0.41505318400240365</c:v>
                </c:pt>
                <c:pt idx="73">
                  <c:v>0.63565702790945622</c:v>
                </c:pt>
                <c:pt idx="74">
                  <c:v>0.39284251422004818</c:v>
                </c:pt>
                <c:pt idx="75">
                  <c:v>0.4425866832812016</c:v>
                </c:pt>
                <c:pt idx="76">
                  <c:v>0.59831361503605851</c:v>
                </c:pt>
                <c:pt idx="77">
                  <c:v>0.44465097895500033</c:v>
                </c:pt>
                <c:pt idx="78">
                  <c:v>0.43788447605461223</c:v>
                </c:pt>
                <c:pt idx="79">
                  <c:v>0.57112429506470375</c:v>
                </c:pt>
                <c:pt idx="80">
                  <c:v>0.53938614464500523</c:v>
                </c:pt>
                <c:pt idx="81">
                  <c:v>0.39275637896499693</c:v>
                </c:pt>
                <c:pt idx="82">
                  <c:v>0.4037413072174299</c:v>
                </c:pt>
                <c:pt idx="83">
                  <c:v>0.53402966166891708</c:v>
                </c:pt>
                <c:pt idx="84">
                  <c:v>0.51821680715116836</c:v>
                </c:pt>
                <c:pt idx="85">
                  <c:v>0.52707514467081062</c:v>
                </c:pt>
                <c:pt idx="86">
                  <c:v>0.58208098445072309</c:v>
                </c:pt>
                <c:pt idx="87">
                  <c:v>0.60371799879956989</c:v>
                </c:pt>
                <c:pt idx="88">
                  <c:v>0.57163908293871291</c:v>
                </c:pt>
                <c:pt idx="89">
                  <c:v>0.54534806937064195</c:v>
                </c:pt>
                <c:pt idx="90">
                  <c:v>0.57198701717483391</c:v>
                </c:pt>
                <c:pt idx="91">
                  <c:v>0.53371996025191781</c:v>
                </c:pt>
                <c:pt idx="92">
                  <c:v>0.53998653464555024</c:v>
                </c:pt>
                <c:pt idx="93">
                  <c:v>0.55380841378061096</c:v>
                </c:pt>
                <c:pt idx="94">
                  <c:v>0.59033259401029436</c:v>
                </c:pt>
                <c:pt idx="95">
                  <c:v>0.61861440314054439</c:v>
                </c:pt>
                <c:pt idx="96">
                  <c:v>0.60538543167476222</c:v>
                </c:pt>
                <c:pt idx="97">
                  <c:v>0.62564884741158677</c:v>
                </c:pt>
                <c:pt idx="98">
                  <c:v>0.62406241725620648</c:v>
                </c:pt>
                <c:pt idx="99">
                  <c:v>0.64617014435470921</c:v>
                </c:pt>
                <c:pt idx="100">
                  <c:v>0.62917944360997946</c:v>
                </c:pt>
                <c:pt idx="101">
                  <c:v>0.58999883346222148</c:v>
                </c:pt>
                <c:pt idx="102">
                  <c:v>0.59320462917006334</c:v>
                </c:pt>
                <c:pt idx="103">
                  <c:v>0.59865516520462236</c:v>
                </c:pt>
                <c:pt idx="104">
                  <c:v>0.62303498558729409</c:v>
                </c:pt>
                <c:pt idx="105">
                  <c:v>0.59994548378080537</c:v>
                </c:pt>
                <c:pt idx="106">
                  <c:v>0.62651312677117699</c:v>
                </c:pt>
                <c:pt idx="107">
                  <c:v>0.64128716500018035</c:v>
                </c:pt>
                <c:pt idx="108">
                  <c:v>0.61337938499217848</c:v>
                </c:pt>
                <c:pt idx="109">
                  <c:v>0.5755954976450337</c:v>
                </c:pt>
                <c:pt idx="110">
                  <c:v>0.57402455058778601</c:v>
                </c:pt>
                <c:pt idx="111">
                  <c:v>0.56729992081936309</c:v>
                </c:pt>
                <c:pt idx="112">
                  <c:v>0.55994550641035201</c:v>
                </c:pt>
                <c:pt idx="113">
                  <c:v>0.55977775325707813</c:v>
                </c:pt>
                <c:pt idx="114">
                  <c:v>0.56788797972414196</c:v>
                </c:pt>
                <c:pt idx="115">
                  <c:v>0.60721722210529439</c:v>
                </c:pt>
                <c:pt idx="116">
                  <c:v>0.62260067347313863</c:v>
                </c:pt>
                <c:pt idx="117">
                  <c:v>0.60397004639358787</c:v>
                </c:pt>
                <c:pt idx="118">
                  <c:v>0.60980915582655415</c:v>
                </c:pt>
                <c:pt idx="119">
                  <c:v>0.6060163614052505</c:v>
                </c:pt>
                <c:pt idx="120">
                  <c:v>0.59005453384413742</c:v>
                </c:pt>
                <c:pt idx="121">
                  <c:v>0.59986353929467839</c:v>
                </c:pt>
                <c:pt idx="122">
                  <c:v>0.60051550282519306</c:v>
                </c:pt>
                <c:pt idx="123">
                  <c:v>0.608071283937337</c:v>
                </c:pt>
                <c:pt idx="124">
                  <c:v>0.56846292645283358</c:v>
                </c:pt>
                <c:pt idx="125">
                  <c:v>0.54364645005213741</c:v>
                </c:pt>
                <c:pt idx="126">
                  <c:v>0.56558881697612673</c:v>
                </c:pt>
                <c:pt idx="127">
                  <c:v>0.49686380735860608</c:v>
                </c:pt>
                <c:pt idx="128">
                  <c:v>0.52504752947133315</c:v>
                </c:pt>
                <c:pt idx="129">
                  <c:v>0.54723685616244511</c:v>
                </c:pt>
                <c:pt idx="130">
                  <c:v>0.52161410772969374</c:v>
                </c:pt>
                <c:pt idx="131">
                  <c:v>0.60790763311029361</c:v>
                </c:pt>
                <c:pt idx="132">
                  <c:v>0.6062942824868468</c:v>
                </c:pt>
                <c:pt idx="133">
                  <c:v>0.56016222124274306</c:v>
                </c:pt>
                <c:pt idx="134">
                  <c:v>0.4982330632263226</c:v>
                </c:pt>
                <c:pt idx="135">
                  <c:v>0.5795675385213821</c:v>
                </c:pt>
                <c:pt idx="136">
                  <c:v>0.57037654520434633</c:v>
                </c:pt>
                <c:pt idx="137">
                  <c:v>0.53426553694218482</c:v>
                </c:pt>
                <c:pt idx="138">
                  <c:v>0.54090419036048387</c:v>
                </c:pt>
                <c:pt idx="139">
                  <c:v>0.54715949093958527</c:v>
                </c:pt>
                <c:pt idx="140">
                  <c:v>0.5928359180213626</c:v>
                </c:pt>
                <c:pt idx="141">
                  <c:v>0.64389474087168297</c:v>
                </c:pt>
                <c:pt idx="142">
                  <c:v>0.61517973176971164</c:v>
                </c:pt>
                <c:pt idx="143">
                  <c:v>0.57031954766769</c:v>
                </c:pt>
                <c:pt idx="144">
                  <c:v>0.59849766951025618</c:v>
                </c:pt>
                <c:pt idx="145">
                  <c:v>0.61641553824827378</c:v>
                </c:pt>
                <c:pt idx="146">
                  <c:v>0.58546851289829938</c:v>
                </c:pt>
                <c:pt idx="147">
                  <c:v>0.55121741736849117</c:v>
                </c:pt>
                <c:pt idx="148">
                  <c:v>0.58586776028872767</c:v>
                </c:pt>
                <c:pt idx="149">
                  <c:v>0.54826949452902862</c:v>
                </c:pt>
                <c:pt idx="150">
                  <c:v>0.55814518205790198</c:v>
                </c:pt>
                <c:pt idx="151">
                  <c:v>0.56254967667153377</c:v>
                </c:pt>
                <c:pt idx="152">
                  <c:v>0.59742048457575658</c:v>
                </c:pt>
                <c:pt idx="153">
                  <c:v>0.62089909683516153</c:v>
                </c:pt>
                <c:pt idx="154">
                  <c:v>0.61207834989372789</c:v>
                </c:pt>
                <c:pt idx="155">
                  <c:v>0.62799615027545186</c:v>
                </c:pt>
                <c:pt idx="156">
                  <c:v>0.62432872067386203</c:v>
                </c:pt>
                <c:pt idx="157">
                  <c:v>0.64725833710449154</c:v>
                </c:pt>
                <c:pt idx="158">
                  <c:v>0.62645226335721327</c:v>
                </c:pt>
                <c:pt idx="159">
                  <c:v>0.59042985072002419</c:v>
                </c:pt>
                <c:pt idx="160">
                  <c:v>0.59505851025623513</c:v>
                </c:pt>
                <c:pt idx="161">
                  <c:v>0.59917190577831747</c:v>
                </c:pt>
                <c:pt idx="162">
                  <c:v>0.62990966726830733</c:v>
                </c:pt>
                <c:pt idx="163">
                  <c:v>0.61017002798725128</c:v>
                </c:pt>
                <c:pt idx="164">
                  <c:v>0.63282926955504315</c:v>
                </c:pt>
                <c:pt idx="165">
                  <c:v>0.65122294817119164</c:v>
                </c:pt>
                <c:pt idx="166">
                  <c:v>0.6223326862718157</c:v>
                </c:pt>
                <c:pt idx="167">
                  <c:v>0.57911541224040897</c:v>
                </c:pt>
                <c:pt idx="168">
                  <c:v>0.57656178222244225</c:v>
                </c:pt>
                <c:pt idx="169">
                  <c:v>0.57195571566943526</c:v>
                </c:pt>
                <c:pt idx="170">
                  <c:v>0.5608979095922364</c:v>
                </c:pt>
                <c:pt idx="171">
                  <c:v>0.57629757295885919</c:v>
                </c:pt>
                <c:pt idx="172">
                  <c:v>0.58116223398215838</c:v>
                </c:pt>
                <c:pt idx="173">
                  <c:v>0.621720678696147</c:v>
                </c:pt>
                <c:pt idx="174">
                  <c:v>0.64589021019466009</c:v>
                </c:pt>
                <c:pt idx="175">
                  <c:v>0.6294666857050587</c:v>
                </c:pt>
                <c:pt idx="176">
                  <c:v>0.62714886000518688</c:v>
                </c:pt>
                <c:pt idx="177">
                  <c:v>0.61943249072356066</c:v>
                </c:pt>
                <c:pt idx="178">
                  <c:v>0.61711771065228893</c:v>
                </c:pt>
                <c:pt idx="179">
                  <c:v>0.6250803192534965</c:v>
                </c:pt>
                <c:pt idx="180">
                  <c:v>0.63130544245864273</c:v>
                </c:pt>
                <c:pt idx="181">
                  <c:v>0.63397204609271551</c:v>
                </c:pt>
                <c:pt idx="182">
                  <c:v>0.60108118369137231</c:v>
                </c:pt>
                <c:pt idx="183">
                  <c:v>0.59471754181638692</c:v>
                </c:pt>
                <c:pt idx="184">
                  <c:v>0.59079358953892624</c:v>
                </c:pt>
                <c:pt idx="185">
                  <c:v>0.58274553324773037</c:v>
                </c:pt>
                <c:pt idx="186">
                  <c:v>0.59159078668621723</c:v>
                </c:pt>
                <c:pt idx="187">
                  <c:v>0.60519274009542345</c:v>
                </c:pt>
                <c:pt idx="188">
                  <c:v>0.58915139640376057</c:v>
                </c:pt>
                <c:pt idx="189">
                  <c:v>0.61850548704003383</c:v>
                </c:pt>
                <c:pt idx="190">
                  <c:v>0.61287229549301714</c:v>
                </c:pt>
                <c:pt idx="191">
                  <c:v>0.61213754837440837</c:v>
                </c:pt>
                <c:pt idx="192">
                  <c:v>0.6091767735889948</c:v>
                </c:pt>
                <c:pt idx="193">
                  <c:v>0.60854774775843923</c:v>
                </c:pt>
                <c:pt idx="194">
                  <c:v>0.58917600253253899</c:v>
                </c:pt>
                <c:pt idx="195">
                  <c:v>0.58956370050890483</c:v>
                </c:pt>
                <c:pt idx="196">
                  <c:v>0.55460507753662491</c:v>
                </c:pt>
                <c:pt idx="197">
                  <c:v>0.55351116964421732</c:v>
                </c:pt>
                <c:pt idx="198">
                  <c:v>0.5830836650079152</c:v>
                </c:pt>
                <c:pt idx="199">
                  <c:v>0.61888291827371422</c:v>
                </c:pt>
                <c:pt idx="200">
                  <c:v>0.60710980959366434</c:v>
                </c:pt>
                <c:pt idx="201">
                  <c:v>0.6187413677561765</c:v>
                </c:pt>
                <c:pt idx="202">
                  <c:v>0.60925708647294552</c:v>
                </c:pt>
                <c:pt idx="203">
                  <c:v>0.61698838212268559</c:v>
                </c:pt>
                <c:pt idx="204">
                  <c:v>0.63063561540831303</c:v>
                </c:pt>
                <c:pt idx="205">
                  <c:v>0.65510749503161736</c:v>
                </c:pt>
                <c:pt idx="206">
                  <c:v>0.63692397780321663</c:v>
                </c:pt>
                <c:pt idx="207">
                  <c:v>0.62870365393858252</c:v>
                </c:pt>
                <c:pt idx="208">
                  <c:v>0.63262247489193202</c:v>
                </c:pt>
                <c:pt idx="209">
                  <c:v>0.64159030343715162</c:v>
                </c:pt>
                <c:pt idx="210">
                  <c:v>0.62873602252512162</c:v>
                </c:pt>
                <c:pt idx="211">
                  <c:v>0.62580892997597481</c:v>
                </c:pt>
                <c:pt idx="212">
                  <c:v>0.63915685820783374</c:v>
                </c:pt>
                <c:pt idx="213">
                  <c:v>0.62795288393519133</c:v>
                </c:pt>
                <c:pt idx="214">
                  <c:v>0.60529103641572868</c:v>
                </c:pt>
                <c:pt idx="215">
                  <c:v>0.60884874634397446</c:v>
                </c:pt>
                <c:pt idx="216">
                  <c:v>0.60464329385511206</c:v>
                </c:pt>
                <c:pt idx="217">
                  <c:v>0.60195270734081441</c:v>
                </c:pt>
                <c:pt idx="218">
                  <c:v>0.61036606319850573</c:v>
                </c:pt>
                <c:pt idx="219">
                  <c:v>0.66076779817344156</c:v>
                </c:pt>
                <c:pt idx="220">
                  <c:v>0.63990703326995602</c:v>
                </c:pt>
                <c:pt idx="221">
                  <c:v>0.64518599605480531</c:v>
                </c:pt>
                <c:pt idx="222">
                  <c:v>0.65526313244691703</c:v>
                </c:pt>
                <c:pt idx="223">
                  <c:v>0.65404873842358435</c:v>
                </c:pt>
                <c:pt idx="224">
                  <c:v>0.64794308340328455</c:v>
                </c:pt>
                <c:pt idx="225">
                  <c:v>0.66131906929980011</c:v>
                </c:pt>
                <c:pt idx="226">
                  <c:v>0.65036901953996584</c:v>
                </c:pt>
                <c:pt idx="227">
                  <c:v>0.65735277432147898</c:v>
                </c:pt>
                <c:pt idx="228">
                  <c:v>0.65194900384217225</c:v>
                </c:pt>
                <c:pt idx="229">
                  <c:v>0.65331634599823663</c:v>
                </c:pt>
                <c:pt idx="230">
                  <c:v>0.62652215805188316</c:v>
                </c:pt>
                <c:pt idx="231">
                  <c:v>0.62948911053167977</c:v>
                </c:pt>
                <c:pt idx="232">
                  <c:v>0.6164515666402256</c:v>
                </c:pt>
                <c:pt idx="233">
                  <c:v>0.61351666616360623</c:v>
                </c:pt>
                <c:pt idx="234">
                  <c:v>0.62514497859921425</c:v>
                </c:pt>
                <c:pt idx="235">
                  <c:v>0.65348063196496986</c:v>
                </c:pt>
                <c:pt idx="236">
                  <c:v>0.63278719016732843</c:v>
                </c:pt>
                <c:pt idx="237">
                  <c:v>0.64409613983637071</c:v>
                </c:pt>
                <c:pt idx="238">
                  <c:v>0.63627701675674808</c:v>
                </c:pt>
                <c:pt idx="239">
                  <c:v>0.63977874281684433</c:v>
                </c:pt>
                <c:pt idx="240">
                  <c:v>0.62477769266086791</c:v>
                </c:pt>
                <c:pt idx="241">
                  <c:v>0.61887445787867168</c:v>
                </c:pt>
                <c:pt idx="242">
                  <c:v>0.59998988665011788</c:v>
                </c:pt>
                <c:pt idx="243">
                  <c:v>0.5970268893975057</c:v>
                </c:pt>
                <c:pt idx="244">
                  <c:v>0.56753956602343214</c:v>
                </c:pt>
                <c:pt idx="245">
                  <c:v>0.56669445720791101</c:v>
                </c:pt>
                <c:pt idx="246">
                  <c:v>0.59850708364447791</c:v>
                </c:pt>
                <c:pt idx="247">
                  <c:v>0.62550166744989499</c:v>
                </c:pt>
                <c:pt idx="248">
                  <c:v>0.61772303910216453</c:v>
                </c:pt>
                <c:pt idx="249">
                  <c:v>0.62116859324007412</c:v>
                </c:pt>
                <c:pt idx="250">
                  <c:v>0.60926861955053457</c:v>
                </c:pt>
                <c:pt idx="251">
                  <c:v>0.62638779836659786</c:v>
                </c:pt>
                <c:pt idx="252">
                  <c:v>0.64106838121721221</c:v>
                </c:pt>
                <c:pt idx="253">
                  <c:v>0.65256096960136167</c:v>
                </c:pt>
                <c:pt idx="254">
                  <c:v>0.63680191912863504</c:v>
                </c:pt>
                <c:pt idx="255">
                  <c:v>0.63516615340867144</c:v>
                </c:pt>
                <c:pt idx="256">
                  <c:v>0.6343623835719584</c:v>
                </c:pt>
                <c:pt idx="257">
                  <c:v>0.64134598464930703</c:v>
                </c:pt>
                <c:pt idx="258">
                  <c:v>0.62744318280595379</c:v>
                </c:pt>
                <c:pt idx="259">
                  <c:v>0.64229076769653382</c:v>
                </c:pt>
                <c:pt idx="260">
                  <c:v>0.65144326650323747</c:v>
                </c:pt>
                <c:pt idx="261">
                  <c:v>0.63306912511670244</c:v>
                </c:pt>
                <c:pt idx="262">
                  <c:v>0.6101405084998337</c:v>
                </c:pt>
                <c:pt idx="263">
                  <c:v>0.61003200447911288</c:v>
                </c:pt>
                <c:pt idx="264">
                  <c:v>0.6155103820475557</c:v>
                </c:pt>
                <c:pt idx="265">
                  <c:v>0.6068023406606613</c:v>
                </c:pt>
                <c:pt idx="266">
                  <c:v>0.6268124957383352</c:v>
                </c:pt>
                <c:pt idx="267">
                  <c:v>0.66817085972467105</c:v>
                </c:pt>
                <c:pt idx="268">
                  <c:v>0.65806264992646402</c:v>
                </c:pt>
                <c:pt idx="269">
                  <c:v>0.66838917854617697</c:v>
                </c:pt>
                <c:pt idx="270">
                  <c:v>0.6770572589646765</c:v>
                </c:pt>
                <c:pt idx="271">
                  <c:v>0.68022234637224244</c:v>
                </c:pt>
                <c:pt idx="272">
                  <c:v>0.67211310417650605</c:v>
                </c:pt>
                <c:pt idx="273">
                  <c:v>0.68491651191586633</c:v>
                </c:pt>
                <c:pt idx="274">
                  <c:v>0.68693409670695604</c:v>
                </c:pt>
                <c:pt idx="275">
                  <c:v>0.6848761380347439</c:v>
                </c:pt>
                <c:pt idx="276">
                  <c:v>0.68468606121194242</c:v>
                </c:pt>
                <c:pt idx="277">
                  <c:v>0.68577558538931516</c:v>
                </c:pt>
                <c:pt idx="278">
                  <c:v>0.70631068582251721</c:v>
                </c:pt>
                <c:pt idx="279">
                  <c:v>0.66649486124619761</c:v>
                </c:pt>
                <c:pt idx="280">
                  <c:v>0.66743632796578056</c:v>
                </c:pt>
                <c:pt idx="281">
                  <c:v>0.69274057898947339</c:v>
                </c:pt>
                <c:pt idx="282">
                  <c:v>0.6991636564937258</c:v>
                </c:pt>
                <c:pt idx="283">
                  <c:v>0.71266678690738228</c:v>
                </c:pt>
                <c:pt idx="284">
                  <c:v>0.71133245019005464</c:v>
                </c:pt>
                <c:pt idx="285">
                  <c:v>0.71991379560158553</c:v>
                </c:pt>
                <c:pt idx="286">
                  <c:v>0.68358326797831992</c:v>
                </c:pt>
                <c:pt idx="287">
                  <c:v>0.67180326942642277</c:v>
                </c:pt>
                <c:pt idx="288">
                  <c:v>0.68828871291694349</c:v>
                </c:pt>
                <c:pt idx="289">
                  <c:v>0.67039680912677824</c:v>
                </c:pt>
                <c:pt idx="290">
                  <c:v>0.67928686429351715</c:v>
                </c:pt>
                <c:pt idx="291">
                  <c:v>0.62601909653132048</c:v>
                </c:pt>
                <c:pt idx="292">
                  <c:v>0.60199636252543998</c:v>
                </c:pt>
                <c:pt idx="293">
                  <c:v>0.59018265109332135</c:v>
                </c:pt>
                <c:pt idx="294">
                  <c:v>0.62864381164999494</c:v>
                </c:pt>
                <c:pt idx="295">
                  <c:v>0.62546422168120486</c:v>
                </c:pt>
                <c:pt idx="296">
                  <c:v>0.61682480452319854</c:v>
                </c:pt>
                <c:pt idx="297">
                  <c:v>0.61550017145917579</c:v>
                </c:pt>
                <c:pt idx="298">
                  <c:v>0.62019978847998025</c:v>
                </c:pt>
                <c:pt idx="299">
                  <c:v>0.60454333944042227</c:v>
                </c:pt>
                <c:pt idx="300">
                  <c:v>0.62110458609843178</c:v>
                </c:pt>
                <c:pt idx="301">
                  <c:v>0.59350969325200209</c:v>
                </c:pt>
                <c:pt idx="302">
                  <c:v>0.59355985212158857</c:v>
                </c:pt>
                <c:pt idx="303">
                  <c:v>0.60753865706151566</c:v>
                </c:pt>
                <c:pt idx="304">
                  <c:v>0.62111518533529031</c:v>
                </c:pt>
                <c:pt idx="305">
                  <c:v>0.6169924733959754</c:v>
                </c:pt>
                <c:pt idx="306">
                  <c:v>0.62045150687505046</c:v>
                </c:pt>
                <c:pt idx="307">
                  <c:v>0.59094443559535803</c:v>
                </c:pt>
                <c:pt idx="308">
                  <c:v>0.61223195219411686</c:v>
                </c:pt>
                <c:pt idx="309">
                  <c:v>0.57008038015631346</c:v>
                </c:pt>
                <c:pt idx="310">
                  <c:v>0.54269238056431357</c:v>
                </c:pt>
                <c:pt idx="311">
                  <c:v>0.5358115464183798</c:v>
                </c:pt>
                <c:pt idx="312">
                  <c:v>0.53713451051687888</c:v>
                </c:pt>
                <c:pt idx="313">
                  <c:v>0.55453192106516014</c:v>
                </c:pt>
                <c:pt idx="314">
                  <c:v>0.5755939975011487</c:v>
                </c:pt>
                <c:pt idx="315">
                  <c:v>0.56440564617342392</c:v>
                </c:pt>
                <c:pt idx="316">
                  <c:v>0.56802210028889377</c:v>
                </c:pt>
                <c:pt idx="317">
                  <c:v>0.56733708742415589</c:v>
                </c:pt>
                <c:pt idx="318">
                  <c:v>0.55404943387323247</c:v>
                </c:pt>
                <c:pt idx="319">
                  <c:v>0.57647829840938836</c:v>
                </c:pt>
                <c:pt idx="320">
                  <c:v>0.57166283840273324</c:v>
                </c:pt>
                <c:pt idx="321">
                  <c:v>0.56757530157263758</c:v>
                </c:pt>
                <c:pt idx="322">
                  <c:v>0.5799025541539391</c:v>
                </c:pt>
                <c:pt idx="323">
                  <c:v>0.55969349327808937</c:v>
                </c:pt>
                <c:pt idx="324">
                  <c:v>0.56175805562363124</c:v>
                </c:pt>
                <c:pt idx="325">
                  <c:v>0.39273299644768778</c:v>
                </c:pt>
                <c:pt idx="326">
                  <c:v>0.72463790386974003</c:v>
                </c:pt>
                <c:pt idx="327">
                  <c:v>0.71742200216507923</c:v>
                </c:pt>
                <c:pt idx="328">
                  <c:v>0.68816326330715216</c:v>
                </c:pt>
                <c:pt idx="329">
                  <c:v>0.69618176200523652</c:v>
                </c:pt>
                <c:pt idx="330">
                  <c:v>0.71399535842980444</c:v>
                </c:pt>
                <c:pt idx="331">
                  <c:v>0.7420427610267667</c:v>
                </c:pt>
                <c:pt idx="332">
                  <c:v>0.72550384083661967</c:v>
                </c:pt>
                <c:pt idx="333">
                  <c:v>0.74739821169250453</c:v>
                </c:pt>
                <c:pt idx="334">
                  <c:v>0.72507202878858013</c:v>
                </c:pt>
                <c:pt idx="335">
                  <c:v>0.7043887984509617</c:v>
                </c:pt>
                <c:pt idx="336">
                  <c:v>0.69145777658269947</c:v>
                </c:pt>
                <c:pt idx="337">
                  <c:v>0.69995534219715894</c:v>
                </c:pt>
                <c:pt idx="338">
                  <c:v>0.68357669855590231</c:v>
                </c:pt>
                <c:pt idx="339">
                  <c:v>0.68237705948126148</c:v>
                </c:pt>
                <c:pt idx="340">
                  <c:v>0.63170436897037796</c:v>
                </c:pt>
                <c:pt idx="341">
                  <c:v>0.61049375810727868</c:v>
                </c:pt>
                <c:pt idx="342">
                  <c:v>0.60737201678170416</c:v>
                </c:pt>
                <c:pt idx="343">
                  <c:v>0.62984194520990988</c:v>
                </c:pt>
                <c:pt idx="344">
                  <c:v>0.63824448551309165</c:v>
                </c:pt>
                <c:pt idx="345">
                  <c:v>0.62192982470589131</c:v>
                </c:pt>
                <c:pt idx="346">
                  <c:v>0.62110157254268406</c:v>
                </c:pt>
                <c:pt idx="347">
                  <c:v>0.6199909534672543</c:v>
                </c:pt>
                <c:pt idx="348">
                  <c:v>0.61184051984352705</c:v>
                </c:pt>
                <c:pt idx="349">
                  <c:v>0.62022446708058476</c:v>
                </c:pt>
                <c:pt idx="350">
                  <c:v>0.59049307820475117</c:v>
                </c:pt>
                <c:pt idx="351">
                  <c:v>0.59952228324233525</c:v>
                </c:pt>
                <c:pt idx="352">
                  <c:v>0.613903950073175</c:v>
                </c:pt>
                <c:pt idx="353">
                  <c:v>0.62471369999323845</c:v>
                </c:pt>
                <c:pt idx="354">
                  <c:v>0.62309043365180006</c:v>
                </c:pt>
                <c:pt idx="355">
                  <c:v>0.61179932943378823</c:v>
                </c:pt>
                <c:pt idx="356">
                  <c:v>0.58998353972260476</c:v>
                </c:pt>
                <c:pt idx="357">
                  <c:v>0.59830474428992708</c:v>
                </c:pt>
                <c:pt idx="358">
                  <c:v>0.56058517331730351</c:v>
                </c:pt>
                <c:pt idx="359">
                  <c:v>0.53642586152077676</c:v>
                </c:pt>
                <c:pt idx="360">
                  <c:v>0.53946352748039605</c:v>
                </c:pt>
                <c:pt idx="361">
                  <c:v>0.53627871230643076</c:v>
                </c:pt>
                <c:pt idx="362">
                  <c:v>0.56131239472441441</c:v>
                </c:pt>
                <c:pt idx="363">
                  <c:v>0.59738075698203241</c:v>
                </c:pt>
                <c:pt idx="364">
                  <c:v>0.58678246830759129</c:v>
                </c:pt>
                <c:pt idx="365">
                  <c:v>0.57536914812539519</c:v>
                </c:pt>
                <c:pt idx="366">
                  <c:v>0.58467976412938727</c:v>
                </c:pt>
                <c:pt idx="367">
                  <c:v>0.57933501311667424</c:v>
                </c:pt>
                <c:pt idx="368">
                  <c:v>0.60757918151733814</c:v>
                </c:pt>
                <c:pt idx="369">
                  <c:v>0.60936685187073814</c:v>
                </c:pt>
                <c:pt idx="370">
                  <c:v>0.59916884542219251</c:v>
                </c:pt>
                <c:pt idx="371">
                  <c:v>0.60179509950051635</c:v>
                </c:pt>
                <c:pt idx="372">
                  <c:v>0.60005948201324999</c:v>
                </c:pt>
                <c:pt idx="373">
                  <c:v>0.53280875791745796</c:v>
                </c:pt>
                <c:pt idx="374">
                  <c:v>0.54479333059237889</c:v>
                </c:pt>
                <c:pt idx="375">
                  <c:v>0.52880515707584586</c:v>
                </c:pt>
                <c:pt idx="376">
                  <c:v>0.53333080558466006</c:v>
                </c:pt>
                <c:pt idx="377">
                  <c:v>0.59516751069453355</c:v>
                </c:pt>
                <c:pt idx="378">
                  <c:v>0.5789966968536312</c:v>
                </c:pt>
                <c:pt idx="379">
                  <c:v>0.5878173373058464</c:v>
                </c:pt>
                <c:pt idx="380">
                  <c:v>0.58337166359403003</c:v>
                </c:pt>
                <c:pt idx="381">
                  <c:v>0.5901614496287817</c:v>
                </c:pt>
                <c:pt idx="382">
                  <c:v>0.59041892157973197</c:v>
                </c:pt>
                <c:pt idx="383">
                  <c:v>0.58480992844596635</c:v>
                </c:pt>
                <c:pt idx="384">
                  <c:v>0.57079480433256213</c:v>
                </c:pt>
                <c:pt idx="385">
                  <c:v>0.58593266953698542</c:v>
                </c:pt>
                <c:pt idx="386">
                  <c:v>0.5820618849436795</c:v>
                </c:pt>
                <c:pt idx="387">
                  <c:v>0.57017281467763958</c:v>
                </c:pt>
                <c:pt idx="388">
                  <c:v>0.56800601270510176</c:v>
                </c:pt>
                <c:pt idx="389">
                  <c:v>0.56567937888676967</c:v>
                </c:pt>
                <c:pt idx="390">
                  <c:v>0.57181686804259435</c:v>
                </c:pt>
                <c:pt idx="391">
                  <c:v>0.56449041756277785</c:v>
                </c:pt>
                <c:pt idx="392">
                  <c:v>0.5735884090726372</c:v>
                </c:pt>
                <c:pt idx="393">
                  <c:v>0.57144701188630687</c:v>
                </c:pt>
                <c:pt idx="394">
                  <c:v>0.57886099873949914</c:v>
                </c:pt>
                <c:pt idx="395">
                  <c:v>0.54678515910324621</c:v>
                </c:pt>
                <c:pt idx="396">
                  <c:v>0.54459979146605653</c:v>
                </c:pt>
                <c:pt idx="397">
                  <c:v>0.55726821404477944</c:v>
                </c:pt>
                <c:pt idx="398">
                  <c:v>0.55508864181662165</c:v>
                </c:pt>
                <c:pt idx="399">
                  <c:v>0.56062184401542714</c:v>
                </c:pt>
                <c:pt idx="400">
                  <c:v>0.55446517320266631</c:v>
                </c:pt>
                <c:pt idx="401">
                  <c:v>0.56259224595856183</c:v>
                </c:pt>
                <c:pt idx="402">
                  <c:v>0.5877222991714437</c:v>
                </c:pt>
                <c:pt idx="403">
                  <c:v>0.56648144976462289</c:v>
                </c:pt>
                <c:pt idx="404">
                  <c:v>0.56873628142239008</c:v>
                </c:pt>
                <c:pt idx="405">
                  <c:v>0.57016895876341445</c:v>
                </c:pt>
                <c:pt idx="406">
                  <c:v>0.554315649839346</c:v>
                </c:pt>
                <c:pt idx="407">
                  <c:v>0.57104127529599757</c:v>
                </c:pt>
                <c:pt idx="408">
                  <c:v>0.54920183887056062</c:v>
                </c:pt>
                <c:pt idx="409">
                  <c:v>0.53819456597534199</c:v>
                </c:pt>
                <c:pt idx="410">
                  <c:v>0.52343350601500305</c:v>
                </c:pt>
                <c:pt idx="411">
                  <c:v>0.53029244027784961</c:v>
                </c:pt>
                <c:pt idx="412">
                  <c:v>0.55508839986653269</c:v>
                </c:pt>
                <c:pt idx="413">
                  <c:v>0.56321413771593609</c:v>
                </c:pt>
                <c:pt idx="414">
                  <c:v>0.58391697684177823</c:v>
                </c:pt>
                <c:pt idx="415">
                  <c:v>0.57447355955711588</c:v>
                </c:pt>
                <c:pt idx="416">
                  <c:v>0.59880910335788184</c:v>
                </c:pt>
                <c:pt idx="417">
                  <c:v>0.56846175338811944</c:v>
                </c:pt>
                <c:pt idx="418">
                  <c:v>0.56447112050280268</c:v>
                </c:pt>
                <c:pt idx="419">
                  <c:v>0.57960161196283866</c:v>
                </c:pt>
                <c:pt idx="420">
                  <c:v>0.57394104091546205</c:v>
                </c:pt>
                <c:pt idx="421">
                  <c:v>0.5009088086073632</c:v>
                </c:pt>
                <c:pt idx="422">
                  <c:v>0.57386585689278791</c:v>
                </c:pt>
                <c:pt idx="423">
                  <c:v>0.58726364707932455</c:v>
                </c:pt>
                <c:pt idx="424">
                  <c:v>0.56736625392447548</c:v>
                </c:pt>
                <c:pt idx="425">
                  <c:v>0.57101457033975112</c:v>
                </c:pt>
                <c:pt idx="426">
                  <c:v>0.64383271523537211</c:v>
                </c:pt>
                <c:pt idx="427">
                  <c:v>0.62545146469302115</c:v>
                </c:pt>
                <c:pt idx="428">
                  <c:v>0.62839618526223062</c:v>
                </c:pt>
                <c:pt idx="429">
                  <c:v>0.62214291308420921</c:v>
                </c:pt>
                <c:pt idx="430">
                  <c:v>0.62942448311864163</c:v>
                </c:pt>
                <c:pt idx="431">
                  <c:v>0.62293689965934962</c:v>
                </c:pt>
                <c:pt idx="432">
                  <c:v>0.62128837346764454</c:v>
                </c:pt>
                <c:pt idx="433">
                  <c:v>0.5969568063236691</c:v>
                </c:pt>
                <c:pt idx="434">
                  <c:v>0.61608315881416442</c:v>
                </c:pt>
                <c:pt idx="435">
                  <c:v>0.61647078756256102</c:v>
                </c:pt>
                <c:pt idx="436">
                  <c:v>0.60784689096758504</c:v>
                </c:pt>
                <c:pt idx="437">
                  <c:v>0.60789874193410931</c:v>
                </c:pt>
                <c:pt idx="438">
                  <c:v>0.59444437530145955</c:v>
                </c:pt>
                <c:pt idx="439">
                  <c:v>0.60210558985468143</c:v>
                </c:pt>
                <c:pt idx="440">
                  <c:v>0.59415544707259893</c:v>
                </c:pt>
                <c:pt idx="441">
                  <c:v>0.59761435137459851</c:v>
                </c:pt>
                <c:pt idx="442">
                  <c:v>0.59324739979552987</c:v>
                </c:pt>
                <c:pt idx="443">
                  <c:v>0.60079707423971263</c:v>
                </c:pt>
                <c:pt idx="444">
                  <c:v>0.57453984714707262</c:v>
                </c:pt>
                <c:pt idx="445">
                  <c:v>0.55982047543780644</c:v>
                </c:pt>
                <c:pt idx="446">
                  <c:v>0.57242244422212019</c:v>
                </c:pt>
                <c:pt idx="447">
                  <c:v>0.56540964476298783</c:v>
                </c:pt>
                <c:pt idx="448">
                  <c:v>0.58513054021442334</c:v>
                </c:pt>
                <c:pt idx="449">
                  <c:v>0.56584793668830646</c:v>
                </c:pt>
                <c:pt idx="450">
                  <c:v>0.57658607587620136</c:v>
                </c:pt>
                <c:pt idx="451">
                  <c:v>0.597372196416873</c:v>
                </c:pt>
                <c:pt idx="452">
                  <c:v>0.57657133865596844</c:v>
                </c:pt>
                <c:pt idx="453">
                  <c:v>0.58126167981681021</c:v>
                </c:pt>
                <c:pt idx="454">
                  <c:v>0.58279831275614657</c:v>
                </c:pt>
                <c:pt idx="455">
                  <c:v>0.5655193773234749</c:v>
                </c:pt>
                <c:pt idx="456">
                  <c:v>0.58556359435602712</c:v>
                </c:pt>
                <c:pt idx="457">
                  <c:v>0.56355322449695633</c:v>
                </c:pt>
                <c:pt idx="458">
                  <c:v>0.55577257960365989</c:v>
                </c:pt>
                <c:pt idx="459">
                  <c:v>0.54085194081375698</c:v>
                </c:pt>
                <c:pt idx="460">
                  <c:v>0.55852521637272823</c:v>
                </c:pt>
                <c:pt idx="461">
                  <c:v>0.57916714688457061</c:v>
                </c:pt>
                <c:pt idx="462">
                  <c:v>0.60503026527770709</c:v>
                </c:pt>
                <c:pt idx="463">
                  <c:v>0.61449277550566417</c:v>
                </c:pt>
                <c:pt idx="464">
                  <c:v>0.61276288296758064</c:v>
                </c:pt>
                <c:pt idx="465">
                  <c:v>0.6373127735024321</c:v>
                </c:pt>
                <c:pt idx="466">
                  <c:v>0.60979902362484895</c:v>
                </c:pt>
                <c:pt idx="467">
                  <c:v>0.59904040031856631</c:v>
                </c:pt>
                <c:pt idx="468">
                  <c:v>0.61730560367626641</c:v>
                </c:pt>
                <c:pt idx="469">
                  <c:v>0.61346103973186683</c:v>
                </c:pt>
                <c:pt idx="470">
                  <c:v>0.57364648612809355</c:v>
                </c:pt>
                <c:pt idx="471">
                  <c:v>0.58493214795433834</c:v>
                </c:pt>
                <c:pt idx="472">
                  <c:v>0.53816110888951829</c:v>
                </c:pt>
                <c:pt idx="473">
                  <c:v>0.57312177200700798</c:v>
                </c:pt>
                <c:pt idx="474">
                  <c:v>0.57545665468606266</c:v>
                </c:pt>
                <c:pt idx="475">
                  <c:v>0.63067902191818126</c:v>
                </c:pt>
                <c:pt idx="476">
                  <c:v>0.59712628251294342</c:v>
                </c:pt>
                <c:pt idx="477">
                  <c:v>0.60453006082715177</c:v>
                </c:pt>
                <c:pt idx="478">
                  <c:v>0.60262323159831932</c:v>
                </c:pt>
                <c:pt idx="479">
                  <c:v>0.60391512956673776</c:v>
                </c:pt>
                <c:pt idx="480">
                  <c:v>0.58429344815251127</c:v>
                </c:pt>
                <c:pt idx="481">
                  <c:v>0.59497122398789504</c:v>
                </c:pt>
                <c:pt idx="482">
                  <c:v>0.57530460362508851</c:v>
                </c:pt>
                <c:pt idx="483">
                  <c:v>0.58403526042756682</c:v>
                </c:pt>
                <c:pt idx="484">
                  <c:v>0.55239283234686887</c:v>
                </c:pt>
                <c:pt idx="485">
                  <c:v>0.5684731319821521</c:v>
                </c:pt>
                <c:pt idx="486">
                  <c:v>0.54290468780191969</c:v>
                </c:pt>
                <c:pt idx="487">
                  <c:v>0.56842761581718482</c:v>
                </c:pt>
                <c:pt idx="488">
                  <c:v>0.56590068608814592</c:v>
                </c:pt>
                <c:pt idx="489">
                  <c:v>0.54949775713464588</c:v>
                </c:pt>
                <c:pt idx="490">
                  <c:v>0.56065516746932897</c:v>
                </c:pt>
                <c:pt idx="491">
                  <c:v>0.57109059934733686</c:v>
                </c:pt>
                <c:pt idx="492">
                  <c:v>0.55228569824897544</c:v>
                </c:pt>
                <c:pt idx="493">
                  <c:v>0.56876441631125985</c:v>
                </c:pt>
                <c:pt idx="494">
                  <c:v>0.55786303320522412</c:v>
                </c:pt>
                <c:pt idx="495">
                  <c:v>0.57163128061558754</c:v>
                </c:pt>
                <c:pt idx="496">
                  <c:v>0.56781315016645295</c:v>
                </c:pt>
                <c:pt idx="497">
                  <c:v>0.55459829533569815</c:v>
                </c:pt>
                <c:pt idx="498">
                  <c:v>0.56383751147670091</c:v>
                </c:pt>
                <c:pt idx="499">
                  <c:v>0.5559409207701268</c:v>
                </c:pt>
                <c:pt idx="500">
                  <c:v>0.56825594880347763</c:v>
                </c:pt>
                <c:pt idx="501">
                  <c:v>0.58020899679701654</c:v>
                </c:pt>
                <c:pt idx="502">
                  <c:v>0.56624216307734476</c:v>
                </c:pt>
                <c:pt idx="503">
                  <c:v>0.5515295300165679</c:v>
                </c:pt>
                <c:pt idx="504">
                  <c:v>0.56012874036294247</c:v>
                </c:pt>
                <c:pt idx="505">
                  <c:v>0.56100568514603522</c:v>
                </c:pt>
                <c:pt idx="506">
                  <c:v>0.54579137549379197</c:v>
                </c:pt>
                <c:pt idx="507">
                  <c:v>0.56688228360370829</c:v>
                </c:pt>
                <c:pt idx="508">
                  <c:v>0.56395534646564327</c:v>
                </c:pt>
                <c:pt idx="509">
                  <c:v>0.56174947807792575</c:v>
                </c:pt>
                <c:pt idx="510">
                  <c:v>0.54338417485293433</c:v>
                </c:pt>
                <c:pt idx="511">
                  <c:v>0.56806742414515399</c:v>
                </c:pt>
                <c:pt idx="512">
                  <c:v>0.54934847477832427</c:v>
                </c:pt>
                <c:pt idx="513">
                  <c:v>0.56430759381881945</c:v>
                </c:pt>
                <c:pt idx="514">
                  <c:v>0.5507154682843215</c:v>
                </c:pt>
                <c:pt idx="515">
                  <c:v>0.54997553232586471</c:v>
                </c:pt>
                <c:pt idx="516">
                  <c:v>0.55141608264134101</c:v>
                </c:pt>
                <c:pt idx="517">
                  <c:v>0.50303157030380918</c:v>
                </c:pt>
                <c:pt idx="518">
                  <c:v>0.61321804001870495</c:v>
                </c:pt>
                <c:pt idx="519">
                  <c:v>0.60628686353027228</c:v>
                </c:pt>
                <c:pt idx="520">
                  <c:v>0.59425140936351628</c:v>
                </c:pt>
                <c:pt idx="521">
                  <c:v>0.60469628411069021</c:v>
                </c:pt>
                <c:pt idx="522">
                  <c:v>0.6075726421123463</c:v>
                </c:pt>
                <c:pt idx="523">
                  <c:v>0.6725894412176513</c:v>
                </c:pt>
                <c:pt idx="524">
                  <c:v>0.6362681860719771</c:v>
                </c:pt>
                <c:pt idx="525">
                  <c:v>0.63519945227914609</c:v>
                </c:pt>
                <c:pt idx="526">
                  <c:v>0.63999171008198186</c:v>
                </c:pt>
                <c:pt idx="527">
                  <c:v>0.63758038152556862</c:v>
                </c:pt>
                <c:pt idx="528">
                  <c:v>0.62038447950412001</c:v>
                </c:pt>
                <c:pt idx="529">
                  <c:v>0.63474008489299283</c:v>
                </c:pt>
                <c:pt idx="530">
                  <c:v>0.61370675748227521</c:v>
                </c:pt>
                <c:pt idx="531">
                  <c:v>0.60370469492701595</c:v>
                </c:pt>
                <c:pt idx="532">
                  <c:v>0.59059486961094043</c:v>
                </c:pt>
                <c:pt idx="533">
                  <c:v>0.60755302330654559</c:v>
                </c:pt>
                <c:pt idx="534">
                  <c:v>0.57314625884743664</c:v>
                </c:pt>
                <c:pt idx="535">
                  <c:v>0.58462879507535315</c:v>
                </c:pt>
                <c:pt idx="536">
                  <c:v>0.58949754357099793</c:v>
                </c:pt>
                <c:pt idx="537">
                  <c:v>0.59452613339879135</c:v>
                </c:pt>
                <c:pt idx="538">
                  <c:v>0.582998702965424</c:v>
                </c:pt>
                <c:pt idx="539">
                  <c:v>0.58413880286224629</c:v>
                </c:pt>
                <c:pt idx="540">
                  <c:v>0.57041998912220038</c:v>
                </c:pt>
                <c:pt idx="541">
                  <c:v>0.57735482611683986</c:v>
                </c:pt>
                <c:pt idx="542">
                  <c:v>0.57982885231532622</c:v>
                </c:pt>
                <c:pt idx="543">
                  <c:v>0.58099780793406552</c:v>
                </c:pt>
                <c:pt idx="544">
                  <c:v>0.57772014652328563</c:v>
                </c:pt>
                <c:pt idx="545">
                  <c:v>0.56906206555160377</c:v>
                </c:pt>
                <c:pt idx="546">
                  <c:v>0.56964528812526738</c:v>
                </c:pt>
                <c:pt idx="547">
                  <c:v>0.57122023775213182</c:v>
                </c:pt>
                <c:pt idx="548">
                  <c:v>0.56640684889819914</c:v>
                </c:pt>
                <c:pt idx="549">
                  <c:v>0.59312373020027431</c:v>
                </c:pt>
                <c:pt idx="550">
                  <c:v>0.57721344048157475</c:v>
                </c:pt>
                <c:pt idx="551">
                  <c:v>0.5677244422321891</c:v>
                </c:pt>
                <c:pt idx="552">
                  <c:v>0.56514624436394922</c:v>
                </c:pt>
                <c:pt idx="553">
                  <c:v>0.56873850883419552</c:v>
                </c:pt>
                <c:pt idx="554">
                  <c:v>0.57381174877973695</c:v>
                </c:pt>
                <c:pt idx="555">
                  <c:v>0.58420736492118852</c:v>
                </c:pt>
                <c:pt idx="556">
                  <c:v>0.58292382276753874</c:v>
                </c:pt>
                <c:pt idx="557">
                  <c:v>0.60036205943590448</c:v>
                </c:pt>
                <c:pt idx="558">
                  <c:v>0.57025226225982451</c:v>
                </c:pt>
                <c:pt idx="559">
                  <c:v>0.61763296400065626</c:v>
                </c:pt>
                <c:pt idx="560">
                  <c:v>0.59172134253781794</c:v>
                </c:pt>
                <c:pt idx="561">
                  <c:v>0.59497541766112272</c:v>
                </c:pt>
                <c:pt idx="562">
                  <c:v>0.61191407959371313</c:v>
                </c:pt>
                <c:pt idx="563">
                  <c:v>0.57444972594380372</c:v>
                </c:pt>
                <c:pt idx="564">
                  <c:v>0.5771219175970751</c:v>
                </c:pt>
                <c:pt idx="565">
                  <c:v>0.55796868024400914</c:v>
                </c:pt>
                <c:pt idx="566">
                  <c:v>0.56998254874832677</c:v>
                </c:pt>
                <c:pt idx="567">
                  <c:v>0.5390522495970379</c:v>
                </c:pt>
                <c:pt idx="568">
                  <c:v>0.536114578963795</c:v>
                </c:pt>
                <c:pt idx="569">
                  <c:v>0.54013894418400044</c:v>
                </c:pt>
                <c:pt idx="570">
                  <c:v>0.55999311639832372</c:v>
                </c:pt>
                <c:pt idx="571">
                  <c:v>0.56668998135620918</c:v>
                </c:pt>
                <c:pt idx="572">
                  <c:v>0.5476923907862653</c:v>
                </c:pt>
                <c:pt idx="573">
                  <c:v>0.5768923356596376</c:v>
                </c:pt>
                <c:pt idx="574">
                  <c:v>0.58515074697513791</c:v>
                </c:pt>
                <c:pt idx="575">
                  <c:v>0.56277769471952044</c:v>
                </c:pt>
                <c:pt idx="576">
                  <c:v>0.57510686917907172</c:v>
                </c:pt>
                <c:pt idx="577">
                  <c:v>0.55605126113478809</c:v>
                </c:pt>
                <c:pt idx="578">
                  <c:v>0.53828850874820777</c:v>
                </c:pt>
                <c:pt idx="579">
                  <c:v>0.54463387151215381</c:v>
                </c:pt>
                <c:pt idx="580">
                  <c:v>0.53915165443916846</c:v>
                </c:pt>
                <c:pt idx="581">
                  <c:v>0.52506308591245621</c:v>
                </c:pt>
                <c:pt idx="582">
                  <c:v>0.54329368981818915</c:v>
                </c:pt>
                <c:pt idx="583">
                  <c:v>0.52880888421226191</c:v>
                </c:pt>
                <c:pt idx="584">
                  <c:v>0.53234549126354314</c:v>
                </c:pt>
                <c:pt idx="585">
                  <c:v>0.52868098659457463</c:v>
                </c:pt>
                <c:pt idx="586">
                  <c:v>0.54231878649863763</c:v>
                </c:pt>
                <c:pt idx="587">
                  <c:v>0.54889025715041073</c:v>
                </c:pt>
                <c:pt idx="588">
                  <c:v>0.58327247304478846</c:v>
                </c:pt>
                <c:pt idx="589">
                  <c:v>0.54828202907828327</c:v>
                </c:pt>
                <c:pt idx="590">
                  <c:v>0.56709227034799248</c:v>
                </c:pt>
                <c:pt idx="591">
                  <c:v>0.56554063553920175</c:v>
                </c:pt>
                <c:pt idx="592">
                  <c:v>0.58672151018145624</c:v>
                </c:pt>
                <c:pt idx="593">
                  <c:v>0.57827294187699052</c:v>
                </c:pt>
                <c:pt idx="594">
                  <c:v>0.58862213913574679</c:v>
                </c:pt>
                <c:pt idx="595">
                  <c:v>0.55812391913193715</c:v>
                </c:pt>
                <c:pt idx="596">
                  <c:v>0.59507539166908774</c:v>
                </c:pt>
                <c:pt idx="597">
                  <c:v>0.61805688716204021</c:v>
                </c:pt>
                <c:pt idx="598">
                  <c:v>0.61086225459726473</c:v>
                </c:pt>
                <c:pt idx="599">
                  <c:v>0.64416482874319003</c:v>
                </c:pt>
                <c:pt idx="600">
                  <c:v>0.64594664327143059</c:v>
                </c:pt>
                <c:pt idx="601">
                  <c:v>0.66841881371700873</c:v>
                </c:pt>
                <c:pt idx="602">
                  <c:v>0.67994973577173567</c:v>
                </c:pt>
                <c:pt idx="603">
                  <c:v>0.7036765683527727</c:v>
                </c:pt>
                <c:pt idx="604">
                  <c:v>0.68609887728036323</c:v>
                </c:pt>
                <c:pt idx="605">
                  <c:v>0.67181048169744795</c:v>
                </c:pt>
                <c:pt idx="606">
                  <c:v>0.68998357827805656</c:v>
                </c:pt>
                <c:pt idx="607">
                  <c:v>0.71642173510069052</c:v>
                </c:pt>
                <c:pt idx="608">
                  <c:v>0.71432431006985886</c:v>
                </c:pt>
                <c:pt idx="609">
                  <c:v>0.69621672793312261</c:v>
                </c:pt>
                <c:pt idx="610">
                  <c:v>0.70027734564248978</c:v>
                </c:pt>
                <c:pt idx="611">
                  <c:v>0.68283001698827483</c:v>
                </c:pt>
                <c:pt idx="612">
                  <c:v>0.70985865851224916</c:v>
                </c:pt>
                <c:pt idx="613">
                  <c:v>0.62129335926568185</c:v>
                </c:pt>
                <c:pt idx="614">
                  <c:v>0.59592798684364823</c:v>
                </c:pt>
                <c:pt idx="615">
                  <c:v>0.60549424093248805</c:v>
                </c:pt>
                <c:pt idx="616">
                  <c:v>0.58550393120034017</c:v>
                </c:pt>
                <c:pt idx="617">
                  <c:v>0.5696352270938555</c:v>
                </c:pt>
                <c:pt idx="618">
                  <c:v>0.57667333760432415</c:v>
                </c:pt>
                <c:pt idx="619">
                  <c:v>0.59855721594555988</c:v>
                </c:pt>
                <c:pt idx="620">
                  <c:v>0.59916283394559011</c:v>
                </c:pt>
                <c:pt idx="621">
                  <c:v>0.57811877619136687</c:v>
                </c:pt>
                <c:pt idx="622">
                  <c:v>0.59266708886218233</c:v>
                </c:pt>
                <c:pt idx="623">
                  <c:v>0.598436801112881</c:v>
                </c:pt>
                <c:pt idx="624">
                  <c:v>0.58275427352345066</c:v>
                </c:pt>
                <c:pt idx="625">
                  <c:v>0.58265040042957128</c:v>
                </c:pt>
                <c:pt idx="626">
                  <c:v>0.57887909427133388</c:v>
                </c:pt>
                <c:pt idx="627">
                  <c:v>0.56197696396174923</c:v>
                </c:pt>
                <c:pt idx="628">
                  <c:v>0.55323753496091055</c:v>
                </c:pt>
                <c:pt idx="629">
                  <c:v>0.55269814125555394</c:v>
                </c:pt>
                <c:pt idx="630">
                  <c:v>0.53701421254014692</c:v>
                </c:pt>
                <c:pt idx="631">
                  <c:v>0.5451873287055895</c:v>
                </c:pt>
                <c:pt idx="632">
                  <c:v>0.53692592238436465</c:v>
                </c:pt>
                <c:pt idx="633">
                  <c:v>0.53734690513324801</c:v>
                </c:pt>
                <c:pt idx="634">
                  <c:v>0.52673229111907816</c:v>
                </c:pt>
                <c:pt idx="635">
                  <c:v>0.54757682872158431</c:v>
                </c:pt>
                <c:pt idx="636">
                  <c:v>0.55019409749149562</c:v>
                </c:pt>
                <c:pt idx="637">
                  <c:v>0.58538920603445121</c:v>
                </c:pt>
                <c:pt idx="638">
                  <c:v>0.55348457889636682</c:v>
                </c:pt>
                <c:pt idx="639">
                  <c:v>0.56636571276578473</c:v>
                </c:pt>
                <c:pt idx="640">
                  <c:v>0.5636467027450045</c:v>
                </c:pt>
                <c:pt idx="641">
                  <c:v>0.5851749035446171</c:v>
                </c:pt>
                <c:pt idx="642">
                  <c:v>0.57581446306498918</c:v>
                </c:pt>
                <c:pt idx="643">
                  <c:v>0.58292711322924706</c:v>
                </c:pt>
                <c:pt idx="644">
                  <c:v>0.55670946111120312</c:v>
                </c:pt>
                <c:pt idx="645">
                  <c:v>0.5870475703575273</c:v>
                </c:pt>
                <c:pt idx="646">
                  <c:v>0.6122854032353523</c:v>
                </c:pt>
                <c:pt idx="647">
                  <c:v>0.6117407219112786</c:v>
                </c:pt>
                <c:pt idx="648">
                  <c:v>0.63870165986939842</c:v>
                </c:pt>
                <c:pt idx="649">
                  <c:v>0.64599865335269258</c:v>
                </c:pt>
                <c:pt idx="650">
                  <c:v>0.67586381780874893</c:v>
                </c:pt>
                <c:pt idx="651">
                  <c:v>0.68744521545726189</c:v>
                </c:pt>
                <c:pt idx="652">
                  <c:v>0.72002427887639664</c:v>
                </c:pt>
                <c:pt idx="653">
                  <c:v>0.70600406588927</c:v>
                </c:pt>
                <c:pt idx="654">
                  <c:v>0.69532298992165009</c:v>
                </c:pt>
                <c:pt idx="655">
                  <c:v>0.71507747720469395</c:v>
                </c:pt>
                <c:pt idx="656">
                  <c:v>0.73202195723531538</c:v>
                </c:pt>
                <c:pt idx="657">
                  <c:v>0.74129045630191548</c:v>
                </c:pt>
                <c:pt idx="658">
                  <c:v>0.71609896141222429</c:v>
                </c:pt>
                <c:pt idx="659">
                  <c:v>0.72108200484727292</c:v>
                </c:pt>
                <c:pt idx="660">
                  <c:v>0.70101669432944458</c:v>
                </c:pt>
                <c:pt idx="661">
                  <c:v>0.73150197819353613</c:v>
                </c:pt>
                <c:pt idx="662">
                  <c:v>0.68255380699404633</c:v>
                </c:pt>
                <c:pt idx="663">
                  <c:v>0.72956778350777063</c:v>
                </c:pt>
                <c:pt idx="664">
                  <c:v>0.71332990003134389</c:v>
                </c:pt>
                <c:pt idx="665">
                  <c:v>0.72197334214213882</c:v>
                </c:pt>
                <c:pt idx="666">
                  <c:v>0.71577552984568216</c:v>
                </c:pt>
                <c:pt idx="667">
                  <c:v>0.72487429185380858</c:v>
                </c:pt>
                <c:pt idx="668">
                  <c:v>0.70646071314935555</c:v>
                </c:pt>
                <c:pt idx="669">
                  <c:v>0.73097007952611903</c:v>
                </c:pt>
                <c:pt idx="670">
                  <c:v>0.71391085765849749</c:v>
                </c:pt>
                <c:pt idx="671">
                  <c:v>0.7122645574576123</c:v>
                </c:pt>
                <c:pt idx="672">
                  <c:v>0.70028011676392943</c:v>
                </c:pt>
                <c:pt idx="673">
                  <c:v>0.69966232563447761</c:v>
                </c:pt>
                <c:pt idx="674">
                  <c:v>0.66690025348247528</c:v>
                </c:pt>
                <c:pt idx="675">
                  <c:v>0.66222644009367704</c:v>
                </c:pt>
                <c:pt idx="676">
                  <c:v>0.65051082640047164</c:v>
                </c:pt>
                <c:pt idx="677">
                  <c:v>0.62842070902497071</c:v>
                </c:pt>
                <c:pt idx="678">
                  <c:v>0.59750464678146864</c:v>
                </c:pt>
                <c:pt idx="679">
                  <c:v>0.58688131025562884</c:v>
                </c:pt>
                <c:pt idx="680">
                  <c:v>0.54400612195128262</c:v>
                </c:pt>
                <c:pt idx="681">
                  <c:v>0.55704968861413717</c:v>
                </c:pt>
                <c:pt idx="682">
                  <c:v>0.55999814026347083</c:v>
                </c:pt>
                <c:pt idx="683">
                  <c:v>0.54536712167174883</c:v>
                </c:pt>
                <c:pt idx="684">
                  <c:v>0.53906367226999508</c:v>
                </c:pt>
                <c:pt idx="685">
                  <c:v>0.52782921820170714</c:v>
                </c:pt>
                <c:pt idx="686">
                  <c:v>0.53352523580681266</c:v>
                </c:pt>
                <c:pt idx="687">
                  <c:v>0.53894880424186908</c:v>
                </c:pt>
                <c:pt idx="688">
                  <c:v>0.52486664494016944</c:v>
                </c:pt>
                <c:pt idx="689">
                  <c:v>0.52578144544860728</c:v>
                </c:pt>
                <c:pt idx="690">
                  <c:v>0.56197672581894575</c:v>
                </c:pt>
                <c:pt idx="691">
                  <c:v>0.53289330553190228</c:v>
                </c:pt>
                <c:pt idx="692">
                  <c:v>0.53303167853341304</c:v>
                </c:pt>
                <c:pt idx="693">
                  <c:v>0.53752430421128128</c:v>
                </c:pt>
                <c:pt idx="694">
                  <c:v>0.54294984881417885</c:v>
                </c:pt>
                <c:pt idx="695">
                  <c:v>0.5284730565218323</c:v>
                </c:pt>
                <c:pt idx="696">
                  <c:v>0.51971960344063639</c:v>
                </c:pt>
                <c:pt idx="697">
                  <c:v>0.52881813765404062</c:v>
                </c:pt>
                <c:pt idx="698">
                  <c:v>0.54376542181124776</c:v>
                </c:pt>
                <c:pt idx="699">
                  <c:v>0.5531575860331045</c:v>
                </c:pt>
                <c:pt idx="700">
                  <c:v>0.54300396119757299</c:v>
                </c:pt>
                <c:pt idx="701">
                  <c:v>0.56771010626931229</c:v>
                </c:pt>
                <c:pt idx="702">
                  <c:v>0.55575953466595096</c:v>
                </c:pt>
                <c:pt idx="703">
                  <c:v>0.5595322286781429</c:v>
                </c:pt>
                <c:pt idx="704">
                  <c:v>0.55822878211386362</c:v>
                </c:pt>
                <c:pt idx="705">
                  <c:v>0.56327884219174795</c:v>
                </c:pt>
                <c:pt idx="706">
                  <c:v>0.56290663003448982</c:v>
                </c:pt>
                <c:pt idx="707">
                  <c:v>0.56570334452435156</c:v>
                </c:pt>
                <c:pt idx="708">
                  <c:v>0.55400917208206624</c:v>
                </c:pt>
                <c:pt idx="709">
                  <c:v>0.5629355015458628</c:v>
                </c:pt>
                <c:pt idx="710">
                  <c:v>0.33165015691720917</c:v>
                </c:pt>
                <c:pt idx="711">
                  <c:v>0.68547893332718612</c:v>
                </c:pt>
                <c:pt idx="712">
                  <c:v>0.68455489739503594</c:v>
                </c:pt>
                <c:pt idx="713">
                  <c:v>0.65369103559075126</c:v>
                </c:pt>
                <c:pt idx="714">
                  <c:v>0.66091459412194586</c:v>
                </c:pt>
                <c:pt idx="715">
                  <c:v>0.6377967292197485</c:v>
                </c:pt>
                <c:pt idx="716">
                  <c:v>0.59004739030673115</c:v>
                </c:pt>
                <c:pt idx="717">
                  <c:v>0.58202686699904715</c:v>
                </c:pt>
                <c:pt idx="718">
                  <c:v>0.55442010350833559</c:v>
                </c:pt>
                <c:pt idx="719">
                  <c:v>0.56388801610118666</c:v>
                </c:pt>
                <c:pt idx="720">
                  <c:v>0.54630361235492109</c:v>
                </c:pt>
                <c:pt idx="721">
                  <c:v>0.54772376814710788</c:v>
                </c:pt>
                <c:pt idx="722">
                  <c:v>0.53226019940400304</c:v>
                </c:pt>
                <c:pt idx="723">
                  <c:v>0.53352904978691695</c:v>
                </c:pt>
                <c:pt idx="724">
                  <c:v>0.53791488106037555</c:v>
                </c:pt>
                <c:pt idx="725">
                  <c:v>0.53353121102744183</c:v>
                </c:pt>
                <c:pt idx="726">
                  <c:v>0.53083056814987106</c:v>
                </c:pt>
                <c:pt idx="727">
                  <c:v>0.52018800716022684</c:v>
                </c:pt>
                <c:pt idx="728">
                  <c:v>0.57289354861309005</c:v>
                </c:pt>
                <c:pt idx="729">
                  <c:v>0.52351196250751453</c:v>
                </c:pt>
                <c:pt idx="730">
                  <c:v>0.53312521763653498</c:v>
                </c:pt>
                <c:pt idx="731">
                  <c:v>0.53378667015336834</c:v>
                </c:pt>
                <c:pt idx="732">
                  <c:v>0.54586268264641247</c:v>
                </c:pt>
                <c:pt idx="733">
                  <c:v>0.52409999982088085</c:v>
                </c:pt>
                <c:pt idx="734">
                  <c:v>0.53132969848240452</c:v>
                </c:pt>
                <c:pt idx="735">
                  <c:v>0.53463889226337413</c:v>
                </c:pt>
                <c:pt idx="736">
                  <c:v>0.5683615619700807</c:v>
                </c:pt>
                <c:pt idx="737">
                  <c:v>0.55734753023636985</c:v>
                </c:pt>
                <c:pt idx="738">
                  <c:v>0.5591455244269673</c:v>
                </c:pt>
                <c:pt idx="739">
                  <c:v>0.57376308047857316</c:v>
                </c:pt>
                <c:pt idx="740">
                  <c:v>0.58938766949864174</c:v>
                </c:pt>
                <c:pt idx="741">
                  <c:v>0.57516220231560244</c:v>
                </c:pt>
                <c:pt idx="742">
                  <c:v>0.59243681191841491</c:v>
                </c:pt>
                <c:pt idx="743">
                  <c:v>0.57848781075551714</c:v>
                </c:pt>
                <c:pt idx="744">
                  <c:v>0.58910967464501895</c:v>
                </c:pt>
                <c:pt idx="745">
                  <c:v>0.58283973733964745</c:v>
                </c:pt>
                <c:pt idx="746">
                  <c:v>0.58328301665919879</c:v>
                </c:pt>
                <c:pt idx="747">
                  <c:v>0.54801417798020824</c:v>
                </c:pt>
                <c:pt idx="748">
                  <c:v>0.69519867997778884</c:v>
                </c:pt>
                <c:pt idx="749">
                  <c:v>0.74526752556860232</c:v>
                </c:pt>
                <c:pt idx="750">
                  <c:v>0.74141981699264037</c:v>
                </c:pt>
                <c:pt idx="751">
                  <c:v>0.73285611766643033</c:v>
                </c:pt>
                <c:pt idx="752">
                  <c:v>0.73725810010831994</c:v>
                </c:pt>
                <c:pt idx="753">
                  <c:v>0.74363901473552596</c:v>
                </c:pt>
                <c:pt idx="754">
                  <c:v>0.71925030506202481</c:v>
                </c:pt>
                <c:pt idx="755">
                  <c:v>0.74761383601347542</c:v>
                </c:pt>
                <c:pt idx="756">
                  <c:v>0.72850588021775087</c:v>
                </c:pt>
                <c:pt idx="757">
                  <c:v>0.73762759426135105</c:v>
                </c:pt>
                <c:pt idx="758">
                  <c:v>0.70189086612602558</c:v>
                </c:pt>
                <c:pt idx="759">
                  <c:v>0.5683761111046195</c:v>
                </c:pt>
                <c:pt idx="760">
                  <c:v>0.57940159238110878</c:v>
                </c:pt>
                <c:pt idx="761">
                  <c:v>0.55217951202191295</c:v>
                </c:pt>
                <c:pt idx="762">
                  <c:v>0.56676052954651512</c:v>
                </c:pt>
                <c:pt idx="763">
                  <c:v>0.56181499670117918</c:v>
                </c:pt>
                <c:pt idx="764">
                  <c:v>0.58457047281078467</c:v>
                </c:pt>
                <c:pt idx="765">
                  <c:v>0.57859852876435147</c:v>
                </c:pt>
                <c:pt idx="766">
                  <c:v>0.57671028616555198</c:v>
                </c:pt>
                <c:pt idx="767">
                  <c:v>0.55398261180909625</c:v>
                </c:pt>
                <c:pt idx="768">
                  <c:v>0.57100780637841408</c:v>
                </c:pt>
                <c:pt idx="769">
                  <c:v>0.57293244561436119</c:v>
                </c:pt>
                <c:pt idx="770">
                  <c:v>0.57947765413452701</c:v>
                </c:pt>
                <c:pt idx="771">
                  <c:v>0.54555327063070447</c:v>
                </c:pt>
                <c:pt idx="772">
                  <c:v>0.55904471870495753</c:v>
                </c:pt>
                <c:pt idx="773">
                  <c:v>0.53573819011531643</c:v>
                </c:pt>
                <c:pt idx="774">
                  <c:v>0.53118758657972631</c:v>
                </c:pt>
                <c:pt idx="775">
                  <c:v>0.53763715681648605</c:v>
                </c:pt>
                <c:pt idx="776">
                  <c:v>0.55392718171519451</c:v>
                </c:pt>
                <c:pt idx="777">
                  <c:v>0.5396215111999807</c:v>
                </c:pt>
                <c:pt idx="778">
                  <c:v>0.54602823815914336</c:v>
                </c:pt>
                <c:pt idx="779">
                  <c:v>0.53732459912669317</c:v>
                </c:pt>
                <c:pt idx="780">
                  <c:v>0.52893288965185459</c:v>
                </c:pt>
                <c:pt idx="781">
                  <c:v>0.52908267698076072</c:v>
                </c:pt>
                <c:pt idx="782">
                  <c:v>0.54188888035203064</c:v>
                </c:pt>
                <c:pt idx="783">
                  <c:v>0.54651268131847852</c:v>
                </c:pt>
                <c:pt idx="784">
                  <c:v>0.55120679817690643</c:v>
                </c:pt>
                <c:pt idx="785">
                  <c:v>0.58633306673797692</c:v>
                </c:pt>
                <c:pt idx="786">
                  <c:v>0.55058066149753571</c:v>
                </c:pt>
                <c:pt idx="787">
                  <c:v>0.53956359050880986</c:v>
                </c:pt>
                <c:pt idx="788">
                  <c:v>0.54885012782387466</c:v>
                </c:pt>
                <c:pt idx="789">
                  <c:v>0.55233792942319249</c:v>
                </c:pt>
                <c:pt idx="790">
                  <c:v>0.54307908537437199</c:v>
                </c:pt>
                <c:pt idx="791">
                  <c:v>0.55427553392336604</c:v>
                </c:pt>
                <c:pt idx="792">
                  <c:v>0.53921753526271299</c:v>
                </c:pt>
                <c:pt idx="793">
                  <c:v>0.54488920087449555</c:v>
                </c:pt>
                <c:pt idx="794">
                  <c:v>0.56632221502374547</c:v>
                </c:pt>
                <c:pt idx="795">
                  <c:v>0.54157500081884591</c:v>
                </c:pt>
                <c:pt idx="796">
                  <c:v>0.56137690619254688</c:v>
                </c:pt>
                <c:pt idx="797">
                  <c:v>0.57020319341051873</c:v>
                </c:pt>
                <c:pt idx="798">
                  <c:v>0.55178729912732227</c:v>
                </c:pt>
                <c:pt idx="799">
                  <c:v>0.5538883643086161</c:v>
                </c:pt>
                <c:pt idx="800">
                  <c:v>0.54757436700127216</c:v>
                </c:pt>
                <c:pt idx="801">
                  <c:v>0.56332964922479323</c:v>
                </c:pt>
                <c:pt idx="802">
                  <c:v>0.57836066800087149</c:v>
                </c:pt>
                <c:pt idx="803">
                  <c:v>0.56679738906770782</c:v>
                </c:pt>
                <c:pt idx="804">
                  <c:v>0.55525482968051343</c:v>
                </c:pt>
                <c:pt idx="805">
                  <c:v>0.55598052097511119</c:v>
                </c:pt>
                <c:pt idx="806">
                  <c:v>0.54963228790440732</c:v>
                </c:pt>
                <c:pt idx="807">
                  <c:v>0.59173112708537923</c:v>
                </c:pt>
                <c:pt idx="808">
                  <c:v>0.60307137035503133</c:v>
                </c:pt>
                <c:pt idx="809">
                  <c:v>0.57765870688272902</c:v>
                </c:pt>
                <c:pt idx="810">
                  <c:v>0.58577894511383677</c:v>
                </c:pt>
                <c:pt idx="811">
                  <c:v>0.5733255161696188</c:v>
                </c:pt>
                <c:pt idx="812">
                  <c:v>0.60579079625303811</c:v>
                </c:pt>
                <c:pt idx="813">
                  <c:v>0.60481206312779956</c:v>
                </c:pt>
                <c:pt idx="814">
                  <c:v>0.58873019179460451</c:v>
                </c:pt>
                <c:pt idx="815">
                  <c:v>0.58118330974329357</c:v>
                </c:pt>
                <c:pt idx="816">
                  <c:v>0.58552051138735117</c:v>
                </c:pt>
                <c:pt idx="817">
                  <c:v>0.58590709014079589</c:v>
                </c:pt>
                <c:pt idx="818">
                  <c:v>0.59810143407941763</c:v>
                </c:pt>
                <c:pt idx="819">
                  <c:v>0.55972724710735622</c:v>
                </c:pt>
                <c:pt idx="820">
                  <c:v>0.57875767942674317</c:v>
                </c:pt>
                <c:pt idx="821">
                  <c:v>0.5536942252159428</c:v>
                </c:pt>
                <c:pt idx="822">
                  <c:v>0.54788984582740241</c:v>
                </c:pt>
                <c:pt idx="823">
                  <c:v>0.54576455504258536</c:v>
                </c:pt>
                <c:pt idx="824">
                  <c:v>0.56107465701241854</c:v>
                </c:pt>
                <c:pt idx="825">
                  <c:v>0.54574107033811048</c:v>
                </c:pt>
                <c:pt idx="826">
                  <c:v>0.5501675475711445</c:v>
                </c:pt>
                <c:pt idx="827">
                  <c:v>0.53882674721159918</c:v>
                </c:pt>
                <c:pt idx="828">
                  <c:v>0.5305322737120266</c:v>
                </c:pt>
                <c:pt idx="829">
                  <c:v>0.52791049073843743</c:v>
                </c:pt>
                <c:pt idx="830">
                  <c:v>0.53430767124292156</c:v>
                </c:pt>
                <c:pt idx="831">
                  <c:v>0.53886944595867736</c:v>
                </c:pt>
                <c:pt idx="832">
                  <c:v>0.5534118406337708</c:v>
                </c:pt>
                <c:pt idx="833">
                  <c:v>0.58074107401512942</c:v>
                </c:pt>
                <c:pt idx="834">
                  <c:v>0.55385099927770487</c:v>
                </c:pt>
                <c:pt idx="835">
                  <c:v>0.54258780661670047</c:v>
                </c:pt>
                <c:pt idx="836">
                  <c:v>0.54977547205269661</c:v>
                </c:pt>
                <c:pt idx="837">
                  <c:v>0.55519931984738446</c:v>
                </c:pt>
                <c:pt idx="838">
                  <c:v>0.5475288226583982</c:v>
                </c:pt>
                <c:pt idx="839">
                  <c:v>0.55586315864183944</c:v>
                </c:pt>
                <c:pt idx="840">
                  <c:v>0.54438917942328346</c:v>
                </c:pt>
                <c:pt idx="841">
                  <c:v>0.55063016477134319</c:v>
                </c:pt>
                <c:pt idx="842">
                  <c:v>0.575255640396657</c:v>
                </c:pt>
                <c:pt idx="843">
                  <c:v>0.55985852695081817</c:v>
                </c:pt>
                <c:pt idx="844">
                  <c:v>0.58122283827766008</c:v>
                </c:pt>
                <c:pt idx="845">
                  <c:v>0.59745636797999169</c:v>
                </c:pt>
                <c:pt idx="846">
                  <c:v>0.58302808424337571</c:v>
                </c:pt>
                <c:pt idx="847">
                  <c:v>0.5792926807851877</c:v>
                </c:pt>
                <c:pt idx="848">
                  <c:v>0.5789973838248168</c:v>
                </c:pt>
                <c:pt idx="849">
                  <c:v>0.59163038017084002</c:v>
                </c:pt>
                <c:pt idx="850">
                  <c:v>0.60708888198638788</c:v>
                </c:pt>
                <c:pt idx="851">
                  <c:v>0.59718942101931471</c:v>
                </c:pt>
                <c:pt idx="852">
                  <c:v>0.58429831174172842</c:v>
                </c:pt>
                <c:pt idx="853">
                  <c:v>0.58831731937707654</c:v>
                </c:pt>
                <c:pt idx="854">
                  <c:v>0.55629176390987578</c:v>
                </c:pt>
                <c:pt idx="855">
                  <c:v>0.57296054217649339</c:v>
                </c:pt>
                <c:pt idx="856">
                  <c:v>0.553822002768941</c:v>
                </c:pt>
                <c:pt idx="857">
                  <c:v>0.54990808043893424</c:v>
                </c:pt>
                <c:pt idx="858">
                  <c:v>0.58258068367851079</c:v>
                </c:pt>
                <c:pt idx="859">
                  <c:v>0.5896156579297569</c:v>
                </c:pt>
                <c:pt idx="860">
                  <c:v>0.57936818962737702</c:v>
                </c:pt>
                <c:pt idx="861">
                  <c:v>0.57342514892513097</c:v>
                </c:pt>
                <c:pt idx="862">
                  <c:v>0.56595708663582667</c:v>
                </c:pt>
                <c:pt idx="863">
                  <c:v>0.5733462797117912</c:v>
                </c:pt>
                <c:pt idx="864">
                  <c:v>0.56279457138035571</c:v>
                </c:pt>
                <c:pt idx="865">
                  <c:v>0.56963569505397327</c:v>
                </c:pt>
                <c:pt idx="866">
                  <c:v>0.56574725841838081</c:v>
                </c:pt>
                <c:pt idx="867">
                  <c:v>0.55978254026510665</c:v>
                </c:pt>
                <c:pt idx="868">
                  <c:v>0.54435173209841548</c:v>
                </c:pt>
                <c:pt idx="869">
                  <c:v>0.53919883867321794</c:v>
                </c:pt>
                <c:pt idx="870">
                  <c:v>0.55227863620955253</c:v>
                </c:pt>
                <c:pt idx="871">
                  <c:v>0.54120881252677078</c:v>
                </c:pt>
                <c:pt idx="872">
                  <c:v>0.54975195830657664</c:v>
                </c:pt>
                <c:pt idx="873">
                  <c:v>0.54224988556511244</c:v>
                </c:pt>
                <c:pt idx="874">
                  <c:v>0.54341946884871029</c:v>
                </c:pt>
                <c:pt idx="875">
                  <c:v>0.54316787434937908</c:v>
                </c:pt>
                <c:pt idx="876">
                  <c:v>0.55641793537455642</c:v>
                </c:pt>
                <c:pt idx="877">
                  <c:v>0.52884538275439719</c:v>
                </c:pt>
                <c:pt idx="878">
                  <c:v>0.52082205875819332</c:v>
                </c:pt>
                <c:pt idx="879">
                  <c:v>0.51537491301496119</c:v>
                </c:pt>
                <c:pt idx="880">
                  <c:v>0.53510149368412618</c:v>
                </c:pt>
                <c:pt idx="881">
                  <c:v>0.53493678802545974</c:v>
                </c:pt>
                <c:pt idx="882">
                  <c:v>0.5337984862676215</c:v>
                </c:pt>
                <c:pt idx="883">
                  <c:v>0.55951785921597252</c:v>
                </c:pt>
                <c:pt idx="884">
                  <c:v>0.56051767680481612</c:v>
                </c:pt>
                <c:pt idx="885">
                  <c:v>0.55640864866753759</c:v>
                </c:pt>
                <c:pt idx="886">
                  <c:v>0.53417719393373453</c:v>
                </c:pt>
                <c:pt idx="887">
                  <c:v>0.54881883173893165</c:v>
                </c:pt>
                <c:pt idx="888">
                  <c:v>0.55510678768914434</c:v>
                </c:pt>
                <c:pt idx="889">
                  <c:v>0.55990255724505544</c:v>
                </c:pt>
                <c:pt idx="890">
                  <c:v>0.57353217937406997</c:v>
                </c:pt>
                <c:pt idx="891">
                  <c:v>0.58472677241074</c:v>
                </c:pt>
                <c:pt idx="892">
                  <c:v>0.57066363829482736</c:v>
                </c:pt>
                <c:pt idx="893">
                  <c:v>0.55900311903672328</c:v>
                </c:pt>
                <c:pt idx="894">
                  <c:v>0.5705955890590988</c:v>
                </c:pt>
                <c:pt idx="895">
                  <c:v>0.57569922579694288</c:v>
                </c:pt>
                <c:pt idx="896">
                  <c:v>0.58183023655993116</c:v>
                </c:pt>
                <c:pt idx="897">
                  <c:v>0.57802755866902344</c:v>
                </c:pt>
                <c:pt idx="898">
                  <c:v>0.57796076840934629</c:v>
                </c:pt>
                <c:pt idx="899">
                  <c:v>0.57534698007623586</c:v>
                </c:pt>
                <c:pt idx="900">
                  <c:v>0.55579721897253365</c:v>
                </c:pt>
                <c:pt idx="901">
                  <c:v>0.57788616233270895</c:v>
                </c:pt>
                <c:pt idx="902">
                  <c:v>0.58363568342709737</c:v>
                </c:pt>
                <c:pt idx="903">
                  <c:v>0.60365115083145593</c:v>
                </c:pt>
                <c:pt idx="904">
                  <c:v>0.59100736546878085</c:v>
                </c:pt>
                <c:pt idx="905">
                  <c:v>0.57545861703211876</c:v>
                </c:pt>
                <c:pt idx="906">
                  <c:v>0.612516948425749</c:v>
                </c:pt>
                <c:pt idx="907">
                  <c:v>0.61423061081247143</c:v>
                </c:pt>
                <c:pt idx="908">
                  <c:v>0.59848179637998367</c:v>
                </c:pt>
                <c:pt idx="909">
                  <c:v>0.59701436754643566</c:v>
                </c:pt>
                <c:pt idx="910">
                  <c:v>0.58553709094139961</c:v>
                </c:pt>
                <c:pt idx="911">
                  <c:v>0.58988763458184224</c:v>
                </c:pt>
                <c:pt idx="912">
                  <c:v>0.57792759898226342</c:v>
                </c:pt>
                <c:pt idx="913">
                  <c:v>0.58395738930702856</c:v>
                </c:pt>
                <c:pt idx="914">
                  <c:v>0.57492441626867963</c:v>
                </c:pt>
                <c:pt idx="915">
                  <c:v>0.57158772477389819</c:v>
                </c:pt>
                <c:pt idx="916">
                  <c:v>0.55873724262015423</c:v>
                </c:pt>
                <c:pt idx="917">
                  <c:v>0.55302839731688958</c:v>
                </c:pt>
                <c:pt idx="918">
                  <c:v>0.56632445485127036</c:v>
                </c:pt>
                <c:pt idx="919">
                  <c:v>0.55345337215231527</c:v>
                </c:pt>
                <c:pt idx="920">
                  <c:v>0.55763157758297976</c:v>
                </c:pt>
                <c:pt idx="921">
                  <c:v>0.55127563521861567</c:v>
                </c:pt>
                <c:pt idx="922">
                  <c:v>0.55388266270979847</c:v>
                </c:pt>
                <c:pt idx="923">
                  <c:v>0.54827969423868306</c:v>
                </c:pt>
                <c:pt idx="924">
                  <c:v>0.56489782335350591</c:v>
                </c:pt>
                <c:pt idx="925">
                  <c:v>0.53233962718763073</c:v>
                </c:pt>
                <c:pt idx="926">
                  <c:v>0.53167762516893391</c:v>
                </c:pt>
                <c:pt idx="927">
                  <c:v>0.52797384958224691</c:v>
                </c:pt>
                <c:pt idx="928">
                  <c:v>0.5461947184103626</c:v>
                </c:pt>
                <c:pt idx="929">
                  <c:v>0.54272710848411787</c:v>
                </c:pt>
                <c:pt idx="930">
                  <c:v>0.5438592846646978</c:v>
                </c:pt>
                <c:pt idx="931">
                  <c:v>0.57368717021744364</c:v>
                </c:pt>
                <c:pt idx="932">
                  <c:v>0.56785414943307411</c:v>
                </c:pt>
                <c:pt idx="933">
                  <c:v>0.56061599124521166</c:v>
                </c:pt>
                <c:pt idx="934">
                  <c:v>0.54611729080159588</c:v>
                </c:pt>
                <c:pt idx="935">
                  <c:v>0.55811683125860334</c:v>
                </c:pt>
                <c:pt idx="936">
                  <c:v>0.56848990606677785</c:v>
                </c:pt>
                <c:pt idx="937">
                  <c:v>0.56176460780135795</c:v>
                </c:pt>
                <c:pt idx="938">
                  <c:v>0.5824079332178923</c:v>
                </c:pt>
                <c:pt idx="939">
                  <c:v>0.59725112317744111</c:v>
                </c:pt>
                <c:pt idx="940">
                  <c:v>0.59151325752833417</c:v>
                </c:pt>
                <c:pt idx="941">
                  <c:v>0.59767840604182532</c:v>
                </c:pt>
                <c:pt idx="942">
                  <c:v>0.60343398619224986</c:v>
                </c:pt>
                <c:pt idx="943">
                  <c:v>0.61159746117875935</c:v>
                </c:pt>
                <c:pt idx="944">
                  <c:v>0.61641784919693965</c:v>
                </c:pt>
                <c:pt idx="945">
                  <c:v>0.62506549154983138</c:v>
                </c:pt>
                <c:pt idx="946">
                  <c:v>0.61703076164960113</c:v>
                </c:pt>
                <c:pt idx="947">
                  <c:v>0.61960614249967294</c:v>
                </c:pt>
                <c:pt idx="948">
                  <c:v>0.59290533856586547</c:v>
                </c:pt>
                <c:pt idx="949">
                  <c:v>0.58258284120506609</c:v>
                </c:pt>
                <c:pt idx="950">
                  <c:v>0.58854340612428668</c:v>
                </c:pt>
                <c:pt idx="951">
                  <c:v>0.55477653514260772</c:v>
                </c:pt>
                <c:pt idx="952">
                  <c:v>0.54156676404077964</c:v>
                </c:pt>
                <c:pt idx="953">
                  <c:v>0.61364438963570933</c:v>
                </c:pt>
                <c:pt idx="954">
                  <c:v>0.57281818301643206</c:v>
                </c:pt>
                <c:pt idx="955">
                  <c:v>0.61462137253649707</c:v>
                </c:pt>
                <c:pt idx="956">
                  <c:v>0.59083960648198208</c:v>
                </c:pt>
                <c:pt idx="957">
                  <c:v>0.59126355740869585</c:v>
                </c:pt>
                <c:pt idx="958">
                  <c:v>0.58006705267486602</c:v>
                </c:pt>
                <c:pt idx="959">
                  <c:v>0.58260032813006812</c:v>
                </c:pt>
                <c:pt idx="960">
                  <c:v>0.59053422130629163</c:v>
                </c:pt>
                <c:pt idx="961">
                  <c:v>0.59923026701439908</c:v>
                </c:pt>
                <c:pt idx="962">
                  <c:v>0.58900059749307365</c:v>
                </c:pt>
                <c:pt idx="963">
                  <c:v>0.57180674078726723</c:v>
                </c:pt>
                <c:pt idx="964">
                  <c:v>0.5837440777077042</c:v>
                </c:pt>
                <c:pt idx="965">
                  <c:v>0.59469777532062484</c:v>
                </c:pt>
                <c:pt idx="966">
                  <c:v>0.56625772661417095</c:v>
                </c:pt>
                <c:pt idx="967">
                  <c:v>0.57515111314955458</c:v>
                </c:pt>
                <c:pt idx="968">
                  <c:v>0.57227688525224707</c:v>
                </c:pt>
                <c:pt idx="969">
                  <c:v>0.57402860404672784</c:v>
                </c:pt>
                <c:pt idx="970">
                  <c:v>0.56695421314200922</c:v>
                </c:pt>
                <c:pt idx="971">
                  <c:v>0.57684205527948706</c:v>
                </c:pt>
                <c:pt idx="972">
                  <c:v>0.57015785821313991</c:v>
                </c:pt>
                <c:pt idx="973">
                  <c:v>0.57691937190130049</c:v>
                </c:pt>
                <c:pt idx="974">
                  <c:v>0.57955210168646965</c:v>
                </c:pt>
                <c:pt idx="975">
                  <c:v>0.57610478537099286</c:v>
                </c:pt>
                <c:pt idx="976">
                  <c:v>0.57587847055943742</c:v>
                </c:pt>
                <c:pt idx="977">
                  <c:v>0.58666785545226141</c:v>
                </c:pt>
                <c:pt idx="978">
                  <c:v>0.5728788016749975</c:v>
                </c:pt>
                <c:pt idx="979">
                  <c:v>0.57873522541578859</c:v>
                </c:pt>
                <c:pt idx="980">
                  <c:v>0.58069979090109425</c:v>
                </c:pt>
                <c:pt idx="981">
                  <c:v>0.5769712537616164</c:v>
                </c:pt>
                <c:pt idx="982">
                  <c:v>0.58363806227531734</c:v>
                </c:pt>
                <c:pt idx="983">
                  <c:v>0.60171241669404152</c:v>
                </c:pt>
                <c:pt idx="984">
                  <c:v>0.5895550962070446</c:v>
                </c:pt>
                <c:pt idx="985">
                  <c:v>0.57183106908333636</c:v>
                </c:pt>
                <c:pt idx="986">
                  <c:v>0.59012172199275814</c:v>
                </c:pt>
                <c:pt idx="987">
                  <c:v>0.58259748939141554</c:v>
                </c:pt>
                <c:pt idx="988">
                  <c:v>0.59077431222749865</c:v>
                </c:pt>
                <c:pt idx="989">
                  <c:v>0.5832485505617826</c:v>
                </c:pt>
                <c:pt idx="990">
                  <c:v>0.5892114552757064</c:v>
                </c:pt>
                <c:pt idx="991">
                  <c:v>0.60425802980938204</c:v>
                </c:pt>
                <c:pt idx="992">
                  <c:v>0.58865562153873452</c:v>
                </c:pt>
                <c:pt idx="993">
                  <c:v>0.58283065831697867</c:v>
                </c:pt>
                <c:pt idx="994">
                  <c:v>0.59436580673658856</c:v>
                </c:pt>
                <c:pt idx="995">
                  <c:v>0.5832391399348178</c:v>
                </c:pt>
                <c:pt idx="996">
                  <c:v>0.58779781523056041</c:v>
                </c:pt>
                <c:pt idx="997">
                  <c:v>0.45974370200693387</c:v>
                </c:pt>
                <c:pt idx="998">
                  <c:v>0.61586286854160499</c:v>
                </c:pt>
                <c:pt idx="999">
                  <c:v>0.61597286991955191</c:v>
                </c:pt>
                <c:pt idx="1000">
                  <c:v>0.59502375233988636</c:v>
                </c:pt>
                <c:pt idx="1001">
                  <c:v>0.56549374797993746</c:v>
                </c:pt>
                <c:pt idx="1002">
                  <c:v>0.65596645562597122</c:v>
                </c:pt>
                <c:pt idx="1003">
                  <c:v>0.60025849810172927</c:v>
                </c:pt>
                <c:pt idx="1004">
                  <c:v>0.63901259083742168</c:v>
                </c:pt>
                <c:pt idx="1005">
                  <c:v>0.63236424803922764</c:v>
                </c:pt>
                <c:pt idx="1006">
                  <c:v>0.61475921074040185</c:v>
                </c:pt>
                <c:pt idx="1007">
                  <c:v>0.59840888199771958</c:v>
                </c:pt>
                <c:pt idx="1008">
                  <c:v>0.59976684455681839</c:v>
                </c:pt>
                <c:pt idx="1009">
                  <c:v>0.61140208740619362</c:v>
                </c:pt>
                <c:pt idx="1010">
                  <c:v>0.61564688613359486</c:v>
                </c:pt>
                <c:pt idx="1011">
                  <c:v>0.61852513994920644</c:v>
                </c:pt>
                <c:pt idx="1012">
                  <c:v>0.61305430617794709</c:v>
                </c:pt>
                <c:pt idx="1013">
                  <c:v>0.6179873958920562</c:v>
                </c:pt>
                <c:pt idx="1014">
                  <c:v>0.63511132039997042</c:v>
                </c:pt>
                <c:pt idx="1015">
                  <c:v>0.59148099598181114</c:v>
                </c:pt>
                <c:pt idx="1016">
                  <c:v>0.60027724998470811</c:v>
                </c:pt>
                <c:pt idx="1017">
                  <c:v>0.59397042765412311</c:v>
                </c:pt>
                <c:pt idx="1018">
                  <c:v>0.59464388220340392</c:v>
                </c:pt>
                <c:pt idx="1019">
                  <c:v>0.58504044500289598</c:v>
                </c:pt>
                <c:pt idx="1020">
                  <c:v>0.58290816436678106</c:v>
                </c:pt>
                <c:pt idx="1021">
                  <c:v>0.58257523303736469</c:v>
                </c:pt>
                <c:pt idx="1022">
                  <c:v>0.59555364630941254</c:v>
                </c:pt>
                <c:pt idx="1023">
                  <c:v>0.5928719604239151</c:v>
                </c:pt>
                <c:pt idx="1024">
                  <c:v>0.59147265208834077</c:v>
                </c:pt>
                <c:pt idx="1025">
                  <c:v>0.5813420855708431</c:v>
                </c:pt>
                <c:pt idx="1026">
                  <c:v>0.59942026921095615</c:v>
                </c:pt>
                <c:pt idx="1027">
                  <c:v>0.59482673825183596</c:v>
                </c:pt>
                <c:pt idx="1028">
                  <c:v>0.5716084551042836</c:v>
                </c:pt>
                <c:pt idx="1029">
                  <c:v>0.59476513231381489</c:v>
                </c:pt>
                <c:pt idx="1030">
                  <c:v>0.5794606128845875</c:v>
                </c:pt>
                <c:pt idx="1031">
                  <c:v>0.60293421422492632</c:v>
                </c:pt>
                <c:pt idx="1032">
                  <c:v>0.60334014006726577</c:v>
                </c:pt>
                <c:pt idx="1033">
                  <c:v>0.59672054964849264</c:v>
                </c:pt>
                <c:pt idx="1034">
                  <c:v>0.58895460906876496</c:v>
                </c:pt>
                <c:pt idx="1035">
                  <c:v>0.60347154060909725</c:v>
                </c:pt>
                <c:pt idx="1036">
                  <c:v>0.60919300824191502</c:v>
                </c:pt>
                <c:pt idx="1037">
                  <c:v>0.61248970798649327</c:v>
                </c:pt>
                <c:pt idx="1038">
                  <c:v>0.62176259896288699</c:v>
                </c:pt>
                <c:pt idx="1039">
                  <c:v>0.63224839591200965</c:v>
                </c:pt>
                <c:pt idx="1040">
                  <c:v>0.65478191722605017</c:v>
                </c:pt>
                <c:pt idx="1041">
                  <c:v>0.62959174030163334</c:v>
                </c:pt>
                <c:pt idx="1042">
                  <c:v>0.89346086870648822</c:v>
                </c:pt>
                <c:pt idx="1043">
                  <c:v>0.92565572899382487</c:v>
                </c:pt>
                <c:pt idx="1044">
                  <c:v>0.93377409069411621</c:v>
                </c:pt>
                <c:pt idx="1045">
                  <c:v>0.91637371510384158</c:v>
                </c:pt>
                <c:pt idx="1046">
                  <c:v>0.55024303318383372</c:v>
                </c:pt>
                <c:pt idx="1047">
                  <c:v>0.55870449150506396</c:v>
                </c:pt>
                <c:pt idx="1048">
                  <c:v>0.57334047993959292</c:v>
                </c:pt>
                <c:pt idx="1049">
                  <c:v>0.56190075159881814</c:v>
                </c:pt>
                <c:pt idx="1050">
                  <c:v>0.56238685226931218</c:v>
                </c:pt>
                <c:pt idx="1051">
                  <c:v>0.54953941956875596</c:v>
                </c:pt>
                <c:pt idx="1052">
                  <c:v>0.56310655260730769</c:v>
                </c:pt>
                <c:pt idx="1053">
                  <c:v>0.57850397321808045</c:v>
                </c:pt>
                <c:pt idx="1054">
                  <c:v>0.58358334546936286</c:v>
                </c:pt>
                <c:pt idx="1055">
                  <c:v>0.57838016028882699</c:v>
                </c:pt>
                <c:pt idx="1056">
                  <c:v>0.57441998994185128</c:v>
                </c:pt>
                <c:pt idx="1057">
                  <c:v>0.58892372359788769</c:v>
                </c:pt>
                <c:pt idx="1058">
                  <c:v>0.5765693813312861</c:v>
                </c:pt>
                <c:pt idx="1059">
                  <c:v>0.58314128000586396</c:v>
                </c:pt>
                <c:pt idx="1060">
                  <c:v>0.58164933527711438</c:v>
                </c:pt>
                <c:pt idx="1061">
                  <c:v>0.58136372197117359</c:v>
                </c:pt>
                <c:pt idx="1062">
                  <c:v>0.57041940522738566</c:v>
                </c:pt>
                <c:pt idx="1063">
                  <c:v>0.58399734527434832</c:v>
                </c:pt>
                <c:pt idx="1064">
                  <c:v>0.5888027343505936</c:v>
                </c:pt>
                <c:pt idx="1065">
                  <c:v>0.58078520383321808</c:v>
                </c:pt>
                <c:pt idx="1066">
                  <c:v>0.59303860378141771</c:v>
                </c:pt>
                <c:pt idx="1067">
                  <c:v>0.59067267433402848</c:v>
                </c:pt>
                <c:pt idx="1068">
                  <c:v>0.59551815644979289</c:v>
                </c:pt>
                <c:pt idx="1069">
                  <c:v>0.60259666472484408</c:v>
                </c:pt>
                <c:pt idx="1070">
                  <c:v>0.47590265352268302</c:v>
                </c:pt>
                <c:pt idx="1071">
                  <c:v>0.58755405200224364</c:v>
                </c:pt>
                <c:pt idx="1072">
                  <c:v>0.61388070586993593</c:v>
                </c:pt>
                <c:pt idx="1073">
                  <c:v>0.55383231555665113</c:v>
                </c:pt>
                <c:pt idx="1074">
                  <c:v>0.555970862721471</c:v>
                </c:pt>
                <c:pt idx="1075">
                  <c:v>0.56785943558976903</c:v>
                </c:pt>
                <c:pt idx="1076">
                  <c:v>0.58445188266023185</c:v>
                </c:pt>
                <c:pt idx="1077">
                  <c:v>0.61162295208915207</c:v>
                </c:pt>
                <c:pt idx="1078">
                  <c:v>0.59249608522011621</c:v>
                </c:pt>
                <c:pt idx="1079">
                  <c:v>0.59493667982309972</c:v>
                </c:pt>
                <c:pt idx="1080">
                  <c:v>0.57323444645284205</c:v>
                </c:pt>
                <c:pt idx="1081">
                  <c:v>0.56662201341319174</c:v>
                </c:pt>
                <c:pt idx="1082">
                  <c:v>0.57063340847547606</c:v>
                </c:pt>
                <c:pt idx="1083">
                  <c:v>0.58143078796284831</c:v>
                </c:pt>
                <c:pt idx="1084">
                  <c:v>0.59477197784961</c:v>
                </c:pt>
                <c:pt idx="1085">
                  <c:v>0.55498023467797353</c:v>
                </c:pt>
                <c:pt idx="1086">
                  <c:v>0.56389536604991786</c:v>
                </c:pt>
                <c:pt idx="1087">
                  <c:v>0.54460995379599686</c:v>
                </c:pt>
                <c:pt idx="1088">
                  <c:v>0.56735990332106179</c:v>
                </c:pt>
                <c:pt idx="1089">
                  <c:v>0.56105282108400079</c:v>
                </c:pt>
                <c:pt idx="1090">
                  <c:v>0.57634572768779291</c:v>
                </c:pt>
                <c:pt idx="1091">
                  <c:v>0.56196731907375297</c:v>
                </c:pt>
                <c:pt idx="1092">
                  <c:v>0.55431552864880551</c:v>
                </c:pt>
                <c:pt idx="1093">
                  <c:v>0.55016681344890428</c:v>
                </c:pt>
                <c:pt idx="1094">
                  <c:v>0.51770210371288217</c:v>
                </c:pt>
                <c:pt idx="1095">
                  <c:v>0.9219715079580022</c:v>
                </c:pt>
                <c:pt idx="1096">
                  <c:v>0.97843348486008841</c:v>
                </c:pt>
                <c:pt idx="1097">
                  <c:v>0.87184790165433779</c:v>
                </c:pt>
                <c:pt idx="1098">
                  <c:v>0.89774537919589048</c:v>
                </c:pt>
                <c:pt idx="1099">
                  <c:v>0.86723029949248276</c:v>
                </c:pt>
                <c:pt idx="1100">
                  <c:v>0.93195737795597933</c:v>
                </c:pt>
                <c:pt idx="1101">
                  <c:v>0.9422160178700959</c:v>
                </c:pt>
                <c:pt idx="1102">
                  <c:v>0.9375886471671806</c:v>
                </c:pt>
                <c:pt idx="1103">
                  <c:v>0.92797190099315285</c:v>
                </c:pt>
                <c:pt idx="1104">
                  <c:v>0.88320254376309282</c:v>
                </c:pt>
                <c:pt idx="1105">
                  <c:v>0.8646017869218634</c:v>
                </c:pt>
                <c:pt idx="1106">
                  <c:v>0.86976627708637133</c:v>
                </c:pt>
                <c:pt idx="1107">
                  <c:v>0.89812959253555946</c:v>
                </c:pt>
                <c:pt idx="1108">
                  <c:v>0.93238405533722435</c:v>
                </c:pt>
                <c:pt idx="1109">
                  <c:v>0.8663200724278618</c:v>
                </c:pt>
                <c:pt idx="1110">
                  <c:v>0.88338442022630281</c:v>
                </c:pt>
                <c:pt idx="1111">
                  <c:v>0.84334454625422151</c:v>
                </c:pt>
                <c:pt idx="1112">
                  <c:v>0.85339848167281085</c:v>
                </c:pt>
                <c:pt idx="1113">
                  <c:v>0.83677191713173582</c:v>
                </c:pt>
                <c:pt idx="1114">
                  <c:v>0.89796851042164405</c:v>
                </c:pt>
                <c:pt idx="1115">
                  <c:v>0.85478793233639794</c:v>
                </c:pt>
                <c:pt idx="1116">
                  <c:v>0.84922126397440667</c:v>
                </c:pt>
                <c:pt idx="1117">
                  <c:v>0.82088095002136152</c:v>
                </c:pt>
                <c:pt idx="1118">
                  <c:v>0.84477635686504271</c:v>
                </c:pt>
                <c:pt idx="1119">
                  <c:v>0.8451921476358274</c:v>
                </c:pt>
                <c:pt idx="1120">
                  <c:v>0.86341006721495028</c:v>
                </c:pt>
                <c:pt idx="1121">
                  <c:v>0.87612323263311975</c:v>
                </c:pt>
                <c:pt idx="1122">
                  <c:v>0.89559943252223484</c:v>
                </c:pt>
                <c:pt idx="1123">
                  <c:v>0.83894701624894463</c:v>
                </c:pt>
                <c:pt idx="1124">
                  <c:v>0.88030694378779939</c:v>
                </c:pt>
                <c:pt idx="1125">
                  <c:v>0.89878160330584878</c:v>
                </c:pt>
                <c:pt idx="1126">
                  <c:v>0.89239460766959899</c:v>
                </c:pt>
                <c:pt idx="1127">
                  <c:v>0.89993256219952955</c:v>
                </c:pt>
                <c:pt idx="1128">
                  <c:v>0.88568738387209589</c:v>
                </c:pt>
                <c:pt idx="1129">
                  <c:v>0.90440163651865368</c:v>
                </c:pt>
                <c:pt idx="1130">
                  <c:v>0.88549595482606513</c:v>
                </c:pt>
                <c:pt idx="1131">
                  <c:v>0.90149706287719655</c:v>
                </c:pt>
                <c:pt idx="1132">
                  <c:v>0.91323903825501196</c:v>
                </c:pt>
                <c:pt idx="1133">
                  <c:v>0.92540332502046452</c:v>
                </c:pt>
                <c:pt idx="1134">
                  <c:v>0.95108629374549192</c:v>
                </c:pt>
                <c:pt idx="1135">
                  <c:v>0.93009416272986689</c:v>
                </c:pt>
                <c:pt idx="1136">
                  <c:v>0.95405741229631569</c:v>
                </c:pt>
                <c:pt idx="1137">
                  <c:v>0.93605533000378416</c:v>
                </c:pt>
                <c:pt idx="1138">
                  <c:v>0.97326846832298097</c:v>
                </c:pt>
                <c:pt idx="1139">
                  <c:v>0.95612908276587116</c:v>
                </c:pt>
                <c:pt idx="1140">
                  <c:v>0.94489737337632573</c:v>
                </c:pt>
                <c:pt idx="1141">
                  <c:v>0.98528291311224336</c:v>
                </c:pt>
                <c:pt idx="1142">
                  <c:v>0.95407850818319395</c:v>
                </c:pt>
                <c:pt idx="1143">
                  <c:v>0.56733344147388587</c:v>
                </c:pt>
                <c:pt idx="1144">
                  <c:v>0.60902796326673925</c:v>
                </c:pt>
                <c:pt idx="1145">
                  <c:v>0.60301341471578018</c:v>
                </c:pt>
                <c:pt idx="1146">
                  <c:v>0.55446153872327963</c:v>
                </c:pt>
                <c:pt idx="1147">
                  <c:v>0.56689005398049019</c:v>
                </c:pt>
                <c:pt idx="1148">
                  <c:v>0.58349088898999457</c:v>
                </c:pt>
                <c:pt idx="1149">
                  <c:v>0.57998721013293775</c:v>
                </c:pt>
                <c:pt idx="1150">
                  <c:v>0.59493888720015253</c:v>
                </c:pt>
                <c:pt idx="1151">
                  <c:v>0.60281609090207089</c:v>
                </c:pt>
                <c:pt idx="1152">
                  <c:v>0.59318346390888743</c:v>
                </c:pt>
                <c:pt idx="1153">
                  <c:v>0.59779464551942196</c:v>
                </c:pt>
                <c:pt idx="1154">
                  <c:v>0.60506196719476446</c:v>
                </c:pt>
                <c:pt idx="1155">
                  <c:v>0.58971553280130729</c:v>
                </c:pt>
                <c:pt idx="1156">
                  <c:v>0.59248332105397294</c:v>
                </c:pt>
                <c:pt idx="1157">
                  <c:v>0.58202925467587807</c:v>
                </c:pt>
                <c:pt idx="1158">
                  <c:v>0.59148277599167098</c:v>
                </c:pt>
                <c:pt idx="1159">
                  <c:v>0.55958191940319768</c:v>
                </c:pt>
                <c:pt idx="1160">
                  <c:v>0.56042208857595133</c:v>
                </c:pt>
                <c:pt idx="1161">
                  <c:v>0.53787221422210063</c:v>
                </c:pt>
                <c:pt idx="1162">
                  <c:v>0.56502069186579462</c:v>
                </c:pt>
                <c:pt idx="1163">
                  <c:v>0.56173184592415593</c:v>
                </c:pt>
                <c:pt idx="1164">
                  <c:v>0.57077765230690347</c:v>
                </c:pt>
                <c:pt idx="1165">
                  <c:v>0.56260080687545966</c:v>
                </c:pt>
                <c:pt idx="1166">
                  <c:v>0.54501687119216247</c:v>
                </c:pt>
                <c:pt idx="1167">
                  <c:v>0.54877525892386936</c:v>
                </c:pt>
                <c:pt idx="1168">
                  <c:v>0.55537948930536507</c:v>
                </c:pt>
                <c:pt idx="1169">
                  <c:v>0.569836403450664</c:v>
                </c:pt>
                <c:pt idx="1170">
                  <c:v>0.56632433696589912</c:v>
                </c:pt>
                <c:pt idx="1171">
                  <c:v>0.55753523164218266</c:v>
                </c:pt>
                <c:pt idx="1172">
                  <c:v>0.56902153163110614</c:v>
                </c:pt>
                <c:pt idx="1173">
                  <c:v>0.56030520337742895</c:v>
                </c:pt>
                <c:pt idx="1174">
                  <c:v>0.55568910939224181</c:v>
                </c:pt>
                <c:pt idx="1175">
                  <c:v>0.5721139455086155</c:v>
                </c:pt>
                <c:pt idx="1176">
                  <c:v>0.55890060140502829</c:v>
                </c:pt>
                <c:pt idx="1177">
                  <c:v>0.5612714887738246</c:v>
                </c:pt>
                <c:pt idx="1178">
                  <c:v>0.5658408557442135</c:v>
                </c:pt>
                <c:pt idx="1179">
                  <c:v>0.57741424032600874</c:v>
                </c:pt>
                <c:pt idx="1180">
                  <c:v>0.57910007379423545</c:v>
                </c:pt>
                <c:pt idx="1181">
                  <c:v>0.57998515390794103</c:v>
                </c:pt>
                <c:pt idx="1182">
                  <c:v>0.57213639551401274</c:v>
                </c:pt>
                <c:pt idx="1183">
                  <c:v>0.57684458669636351</c:v>
                </c:pt>
                <c:pt idx="1184">
                  <c:v>0.57624238429931374</c:v>
                </c:pt>
                <c:pt idx="1185">
                  <c:v>0.56270304922792547</c:v>
                </c:pt>
                <c:pt idx="1186">
                  <c:v>0.59998115917186379</c:v>
                </c:pt>
                <c:pt idx="1187">
                  <c:v>0.56171611934519383</c:v>
                </c:pt>
                <c:pt idx="1188">
                  <c:v>0.59295334979928649</c:v>
                </c:pt>
                <c:pt idx="1189">
                  <c:v>0.5725651655478764</c:v>
                </c:pt>
                <c:pt idx="1190">
                  <c:v>0.58770423171893371</c:v>
                </c:pt>
                <c:pt idx="1191">
                  <c:v>0.38081069706112436</c:v>
                </c:pt>
                <c:pt idx="1192">
                  <c:v>0.96542443743852635</c:v>
                </c:pt>
                <c:pt idx="1193">
                  <c:v>0.99345289650414004</c:v>
                </c:pt>
                <c:pt idx="1194">
                  <c:v>0.87977375603192975</c:v>
                </c:pt>
                <c:pt idx="1195">
                  <c:v>0.96752279764080529</c:v>
                </c:pt>
                <c:pt idx="1196">
                  <c:v>0.99191402023621755</c:v>
                </c:pt>
                <c:pt idx="1197">
                  <c:v>0.99174563300998342</c:v>
                </c:pt>
                <c:pt idx="1198">
                  <c:v>0.97303419297807425</c:v>
                </c:pt>
                <c:pt idx="1199">
                  <c:v>1.0022131617879726</c:v>
                </c:pt>
                <c:pt idx="1200">
                  <c:v>0.97398658372006253</c:v>
                </c:pt>
                <c:pt idx="1201">
                  <c:v>1.0034605321095065</c:v>
                </c:pt>
                <c:pt idx="1202">
                  <c:v>0.97421615221186075</c:v>
                </c:pt>
                <c:pt idx="1203">
                  <c:v>0.95530734764183245</c:v>
                </c:pt>
                <c:pt idx="1204">
                  <c:v>0.94923158225989401</c:v>
                </c:pt>
                <c:pt idx="1205">
                  <c:v>0.95014234318127466</c:v>
                </c:pt>
                <c:pt idx="1206">
                  <c:v>0.93134791008686202</c:v>
                </c:pt>
                <c:pt idx="1207">
                  <c:v>0.92317135373730053</c:v>
                </c:pt>
                <c:pt idx="1208">
                  <c:v>0.88732996338279191</c:v>
                </c:pt>
                <c:pt idx="1209">
                  <c:v>0.86616406468004026</c:v>
                </c:pt>
                <c:pt idx="1210">
                  <c:v>0.871461137026454</c:v>
                </c:pt>
                <c:pt idx="1211">
                  <c:v>0.88169636945807994</c:v>
                </c:pt>
                <c:pt idx="1212">
                  <c:v>0.86385713001523989</c:v>
                </c:pt>
                <c:pt idx="1213">
                  <c:v>0.88180579235390255</c:v>
                </c:pt>
                <c:pt idx="1214">
                  <c:v>0.84504089550947759</c:v>
                </c:pt>
                <c:pt idx="1215">
                  <c:v>0.84013345665751105</c:v>
                </c:pt>
                <c:pt idx="1216">
                  <c:v>0.83553635372309787</c:v>
                </c:pt>
                <c:pt idx="1217">
                  <c:v>0.86941590369346244</c:v>
                </c:pt>
                <c:pt idx="1218">
                  <c:v>0.90942614935397048</c:v>
                </c:pt>
                <c:pt idx="1219">
                  <c:v>0.9037325928940062</c:v>
                </c:pt>
                <c:pt idx="1220">
                  <c:v>0.88386281026602953</c:v>
                </c:pt>
                <c:pt idx="1221">
                  <c:v>0.84843040679808468</c:v>
                </c:pt>
                <c:pt idx="1222">
                  <c:v>0.86191513273697529</c:v>
                </c:pt>
                <c:pt idx="1223">
                  <c:v>0.88387620169148984</c:v>
                </c:pt>
                <c:pt idx="1224">
                  <c:v>0.88381780978165947</c:v>
                </c:pt>
                <c:pt idx="1225">
                  <c:v>0.86060467135162011</c:v>
                </c:pt>
                <c:pt idx="1226">
                  <c:v>0.89156382674236145</c:v>
                </c:pt>
                <c:pt idx="1227">
                  <c:v>0.9092770177481343</c:v>
                </c:pt>
                <c:pt idx="1228">
                  <c:v>0.93172152029192079</c:v>
                </c:pt>
                <c:pt idx="1229">
                  <c:v>0.93932307693637263</c:v>
                </c:pt>
                <c:pt idx="1230">
                  <c:v>0.94155108379870334</c:v>
                </c:pt>
                <c:pt idx="1231">
                  <c:v>0.93837265056581765</c:v>
                </c:pt>
                <c:pt idx="1232">
                  <c:v>0.94936199618741834</c:v>
                </c:pt>
                <c:pt idx="1233">
                  <c:v>0.93572365379820321</c:v>
                </c:pt>
                <c:pt idx="1234">
                  <c:v>0.94883546371534588</c:v>
                </c:pt>
                <c:pt idx="1235">
                  <c:v>0.93039493965808273</c:v>
                </c:pt>
                <c:pt idx="1236">
                  <c:v>0.96709814559148355</c:v>
                </c:pt>
                <c:pt idx="1237">
                  <c:v>0.94702295765090827</c:v>
                </c:pt>
                <c:pt idx="1238">
                  <c:v>0.94836165926707949</c:v>
                </c:pt>
                <c:pt idx="1239">
                  <c:v>0.56105902594034962</c:v>
                </c:pt>
                <c:pt idx="1240">
                  <c:v>0.58629208662813803</c:v>
                </c:pt>
                <c:pt idx="1241">
                  <c:v>0.56188538842473823</c:v>
                </c:pt>
                <c:pt idx="1242">
                  <c:v>0.52235997481210128</c:v>
                </c:pt>
                <c:pt idx="1243">
                  <c:v>0.5311365836502433</c:v>
                </c:pt>
                <c:pt idx="1244">
                  <c:v>0.53984246660513102</c:v>
                </c:pt>
                <c:pt idx="1245">
                  <c:v>0.55797024252159599</c:v>
                </c:pt>
                <c:pt idx="1246">
                  <c:v>0.56523961675305878</c:v>
                </c:pt>
                <c:pt idx="1247">
                  <c:v>0.58181920260194486</c:v>
                </c:pt>
                <c:pt idx="1248">
                  <c:v>0.5749581625461625</c:v>
                </c:pt>
                <c:pt idx="1249">
                  <c:v>0.54297833640356941</c:v>
                </c:pt>
                <c:pt idx="1250">
                  <c:v>0.5474611127801875</c:v>
                </c:pt>
                <c:pt idx="1251">
                  <c:v>0.54597635441546088</c:v>
                </c:pt>
                <c:pt idx="1252">
                  <c:v>0.53650503621643686</c:v>
                </c:pt>
                <c:pt idx="1253">
                  <c:v>0.55161246203343051</c:v>
                </c:pt>
                <c:pt idx="1254">
                  <c:v>0.54794703565971337</c:v>
                </c:pt>
                <c:pt idx="1255">
                  <c:v>0.54835317422394725</c:v>
                </c:pt>
                <c:pt idx="1256">
                  <c:v>0.54173970358294143</c:v>
                </c:pt>
                <c:pt idx="1257">
                  <c:v>0.52525749442462</c:v>
                </c:pt>
                <c:pt idx="1258">
                  <c:v>0.51967261714278068</c:v>
                </c:pt>
                <c:pt idx="1259">
                  <c:v>0.51990539888462928</c:v>
                </c:pt>
                <c:pt idx="1260">
                  <c:v>0.53032458794910653</c:v>
                </c:pt>
                <c:pt idx="1261">
                  <c:v>0.52876042894373065</c:v>
                </c:pt>
                <c:pt idx="1262">
                  <c:v>0.526085994352672</c:v>
                </c:pt>
                <c:pt idx="1263">
                  <c:v>0.5272481467969693</c:v>
                </c:pt>
                <c:pt idx="1264">
                  <c:v>0.51274708162127269</c:v>
                </c:pt>
                <c:pt idx="1265">
                  <c:v>0.51557688604219398</c:v>
                </c:pt>
                <c:pt idx="1266">
                  <c:v>0.51388305259591716</c:v>
                </c:pt>
                <c:pt idx="1267">
                  <c:v>0.51811749817522146</c:v>
                </c:pt>
                <c:pt idx="1268">
                  <c:v>0.52575879628134214</c:v>
                </c:pt>
                <c:pt idx="1269">
                  <c:v>0.54317011249233704</c:v>
                </c:pt>
                <c:pt idx="1270">
                  <c:v>0.52495910644654231</c:v>
                </c:pt>
                <c:pt idx="1271">
                  <c:v>0.54382340562515297</c:v>
                </c:pt>
                <c:pt idx="1272">
                  <c:v>0.54560161919959393</c:v>
                </c:pt>
                <c:pt idx="1273">
                  <c:v>0.56000041294527914</c:v>
                </c:pt>
                <c:pt idx="1274">
                  <c:v>0.5498985310494221</c:v>
                </c:pt>
                <c:pt idx="1275">
                  <c:v>0.56183167259081823</c:v>
                </c:pt>
                <c:pt idx="1276">
                  <c:v>0.5529289578158525</c:v>
                </c:pt>
                <c:pt idx="1277">
                  <c:v>0.55405404191248664</c:v>
                </c:pt>
                <c:pt idx="1278">
                  <c:v>0.57255284780399041</c:v>
                </c:pt>
                <c:pt idx="1279">
                  <c:v>0.55793466926980551</c:v>
                </c:pt>
                <c:pt idx="1280">
                  <c:v>0.56303588342625566</c:v>
                </c:pt>
                <c:pt idx="1281">
                  <c:v>0.55983280066399177</c:v>
                </c:pt>
                <c:pt idx="1282">
                  <c:v>0.57561880690730105</c:v>
                </c:pt>
                <c:pt idx="1283">
                  <c:v>0.57787858622967192</c:v>
                </c:pt>
                <c:pt idx="1284">
                  <c:v>0.57823922280921525</c:v>
                </c:pt>
                <c:pt idx="1285">
                  <c:v>0.56410052167597191</c:v>
                </c:pt>
                <c:pt idx="1286">
                  <c:v>0.52385047698614939</c:v>
                </c:pt>
                <c:pt idx="1287">
                  <c:v>0.95082699569963858</c:v>
                </c:pt>
                <c:pt idx="1288">
                  <c:v>0.96480336023030933</c:v>
                </c:pt>
                <c:pt idx="1289">
                  <c:v>0.87259436851544725</c:v>
                </c:pt>
                <c:pt idx="1290">
                  <c:v>0.86761902253275536</c:v>
                </c:pt>
                <c:pt idx="1291">
                  <c:v>0.87486509170477089</c:v>
                </c:pt>
                <c:pt idx="1292">
                  <c:v>0.91762869097571065</c:v>
                </c:pt>
                <c:pt idx="1293">
                  <c:v>0.93825556579137981</c:v>
                </c:pt>
                <c:pt idx="1294">
                  <c:v>0.96584325815047756</c:v>
                </c:pt>
                <c:pt idx="1295">
                  <c:v>0.94135090283484402</c:v>
                </c:pt>
                <c:pt idx="1296">
                  <c:v>0.92704503370661551</c:v>
                </c:pt>
                <c:pt idx="1297">
                  <c:v>0.87373847455955622</c:v>
                </c:pt>
                <c:pt idx="1298">
                  <c:v>0.92109392260326839</c:v>
                </c:pt>
                <c:pt idx="1299">
                  <c:v>0.89041447918225902</c:v>
                </c:pt>
                <c:pt idx="1300">
                  <c:v>0.86840724532106861</c:v>
                </c:pt>
                <c:pt idx="1301">
                  <c:v>0.8705555892043868</c:v>
                </c:pt>
                <c:pt idx="1302">
                  <c:v>0.89558678438162043</c:v>
                </c:pt>
                <c:pt idx="1303">
                  <c:v>0.84932603351627012</c:v>
                </c:pt>
                <c:pt idx="1304">
                  <c:v>0.88399398305204357</c:v>
                </c:pt>
                <c:pt idx="1305">
                  <c:v>0.82586531853367595</c:v>
                </c:pt>
                <c:pt idx="1306">
                  <c:v>0.83139883079860988</c:v>
                </c:pt>
                <c:pt idx="1307">
                  <c:v>0.82516962003442895</c:v>
                </c:pt>
                <c:pt idx="1308">
                  <c:v>0.82618465882734637</c:v>
                </c:pt>
                <c:pt idx="1309">
                  <c:v>0.83423441943991183</c:v>
                </c:pt>
                <c:pt idx="1310">
                  <c:v>0.82823531762968761</c:v>
                </c:pt>
                <c:pt idx="1311">
                  <c:v>0.8254992081172865</c:v>
                </c:pt>
                <c:pt idx="1312">
                  <c:v>0.83888232243484795</c:v>
                </c:pt>
                <c:pt idx="1313">
                  <c:v>0.81536034746104635</c:v>
                </c:pt>
                <c:pt idx="1314">
                  <c:v>0.80744355953701041</c:v>
                </c:pt>
                <c:pt idx="1315">
                  <c:v>0.79123471629628095</c:v>
                </c:pt>
                <c:pt idx="1316">
                  <c:v>0.83578033754121417</c:v>
                </c:pt>
                <c:pt idx="1317">
                  <c:v>0.82823815555035751</c:v>
                </c:pt>
                <c:pt idx="1318">
                  <c:v>0.86229021375399073</c:v>
                </c:pt>
                <c:pt idx="1319">
                  <c:v>0.8509672126859904</c:v>
                </c:pt>
                <c:pt idx="1320">
                  <c:v>0.88729607367814534</c:v>
                </c:pt>
                <c:pt idx="1321">
                  <c:v>0.87025966278306999</c:v>
                </c:pt>
                <c:pt idx="1322">
                  <c:v>0.91423782396756981</c:v>
                </c:pt>
                <c:pt idx="1323">
                  <c:v>0.89396627048263322</c:v>
                </c:pt>
                <c:pt idx="1324">
                  <c:v>0.91288235171965704</c:v>
                </c:pt>
                <c:pt idx="1325">
                  <c:v>0.93902552369089354</c:v>
                </c:pt>
                <c:pt idx="1326">
                  <c:v>0.94538979440556892</c:v>
                </c:pt>
                <c:pt idx="1327">
                  <c:v>0.93228239956772929</c:v>
                </c:pt>
                <c:pt idx="1328">
                  <c:v>0.96756491711715586</c:v>
                </c:pt>
                <c:pt idx="1329">
                  <c:v>0.97609180203113688</c:v>
                </c:pt>
                <c:pt idx="1330">
                  <c:v>0.96984258807078516</c:v>
                </c:pt>
                <c:pt idx="1331">
                  <c:v>0.97934574773087257</c:v>
                </c:pt>
                <c:pt idx="1332">
                  <c:v>0.96697206074198738</c:v>
                </c:pt>
                <c:pt idx="1333">
                  <c:v>0.91916332084531516</c:v>
                </c:pt>
                <c:pt idx="1334">
                  <c:v>0.97326768315034251</c:v>
                </c:pt>
                <c:pt idx="1335">
                  <c:v>0.56709085822022454</c:v>
                </c:pt>
                <c:pt idx="1336">
                  <c:v>0.58785884684799505</c:v>
                </c:pt>
                <c:pt idx="1337">
                  <c:v>0.57754614069399668</c:v>
                </c:pt>
                <c:pt idx="1338">
                  <c:v>0.53392374272091325</c:v>
                </c:pt>
                <c:pt idx="1339">
                  <c:v>0.56615183639056643</c:v>
                </c:pt>
                <c:pt idx="1340">
                  <c:v>0.55949690289802578</c:v>
                </c:pt>
                <c:pt idx="1341">
                  <c:v>0.56942833933996184</c:v>
                </c:pt>
                <c:pt idx="1342">
                  <c:v>0.57266276550590878</c:v>
                </c:pt>
                <c:pt idx="1343">
                  <c:v>0.56932228286290476</c:v>
                </c:pt>
                <c:pt idx="1344">
                  <c:v>0.57151644215461483</c:v>
                </c:pt>
                <c:pt idx="1345">
                  <c:v>0.55881976927523946</c:v>
                </c:pt>
                <c:pt idx="1346">
                  <c:v>0.56658749528977559</c:v>
                </c:pt>
                <c:pt idx="1347">
                  <c:v>0.56664757626193263</c:v>
                </c:pt>
                <c:pt idx="1348">
                  <c:v>0.5625798798917766</c:v>
                </c:pt>
                <c:pt idx="1349">
                  <c:v>0.56324821265067515</c:v>
                </c:pt>
                <c:pt idx="1350">
                  <c:v>0.57206241079593112</c:v>
                </c:pt>
                <c:pt idx="1351">
                  <c:v>0.55743044169328027</c:v>
                </c:pt>
                <c:pt idx="1352">
                  <c:v>0.57270958246303405</c:v>
                </c:pt>
                <c:pt idx="1353">
                  <c:v>0.50516327838475805</c:v>
                </c:pt>
                <c:pt idx="1354">
                  <c:v>0.48597100311950103</c:v>
                </c:pt>
                <c:pt idx="1355">
                  <c:v>0.52332379929466077</c:v>
                </c:pt>
                <c:pt idx="1356">
                  <c:v>0.52615375783588925</c:v>
                </c:pt>
                <c:pt idx="1357">
                  <c:v>0.52371746953530796</c:v>
                </c:pt>
                <c:pt idx="1358">
                  <c:v>0.52991404605134618</c:v>
                </c:pt>
                <c:pt idx="1359">
                  <c:v>0.53194502246289732</c:v>
                </c:pt>
                <c:pt idx="1360">
                  <c:v>0.53651122310454402</c:v>
                </c:pt>
                <c:pt idx="1361">
                  <c:v>0.54627299640860805</c:v>
                </c:pt>
                <c:pt idx="1362">
                  <c:v>0.56410502429430098</c:v>
                </c:pt>
                <c:pt idx="1363">
                  <c:v>0.56213637126629534</c:v>
                </c:pt>
                <c:pt idx="1364">
                  <c:v>0.57202890413572316</c:v>
                </c:pt>
                <c:pt idx="1365">
                  <c:v>0.55412934004754144</c:v>
                </c:pt>
                <c:pt idx="1366">
                  <c:v>0.5550979567925548</c:v>
                </c:pt>
                <c:pt idx="1367">
                  <c:v>0.53869146493388187</c:v>
                </c:pt>
                <c:pt idx="1368">
                  <c:v>0.55196486838383396</c:v>
                </c:pt>
                <c:pt idx="1369">
                  <c:v>0.53651400086237189</c:v>
                </c:pt>
                <c:pt idx="1370">
                  <c:v>0.54823065970722928</c:v>
                </c:pt>
                <c:pt idx="1371">
                  <c:v>0.56566721847622459</c:v>
                </c:pt>
                <c:pt idx="1372">
                  <c:v>0.54298094870906144</c:v>
                </c:pt>
                <c:pt idx="1373">
                  <c:v>0.95809823625969837</c:v>
                </c:pt>
                <c:pt idx="1374">
                  <c:v>0.96990012297921313</c:v>
                </c:pt>
                <c:pt idx="1375">
                  <c:v>0.89076909737264431</c:v>
                </c:pt>
                <c:pt idx="1376">
                  <c:v>0.96631189588458266</c:v>
                </c:pt>
                <c:pt idx="1377">
                  <c:v>0.94063440577215329</c:v>
                </c:pt>
                <c:pt idx="1378">
                  <c:v>0.97277362056620709</c:v>
                </c:pt>
                <c:pt idx="1379">
                  <c:v>0.9525003943984699</c:v>
                </c:pt>
                <c:pt idx="1380">
                  <c:v>0.95531890031345645</c:v>
                </c:pt>
                <c:pt idx="1381">
                  <c:v>0.93660999036996884</c:v>
                </c:pt>
                <c:pt idx="1382">
                  <c:v>0.9284665217878898</c:v>
                </c:pt>
                <c:pt idx="1383">
                  <c:v>0.90681331053105885</c:v>
                </c:pt>
                <c:pt idx="1384">
                  <c:v>0.92420038206367239</c:v>
                </c:pt>
                <c:pt idx="1385">
                  <c:v>0.92800342720306306</c:v>
                </c:pt>
                <c:pt idx="1386">
                  <c:v>0.93931833247175822</c:v>
                </c:pt>
                <c:pt idx="1387">
                  <c:v>0.9076685825673193</c:v>
                </c:pt>
                <c:pt idx="1388">
                  <c:v>0.9094652029918594</c:v>
                </c:pt>
                <c:pt idx="1389">
                  <c:v>0.85926063937752883</c:v>
                </c:pt>
                <c:pt idx="1390">
                  <c:v>0.7633957197910779</c:v>
                </c:pt>
                <c:pt idx="1391">
                  <c:v>0.49411227608417063</c:v>
                </c:pt>
                <c:pt idx="1392">
                  <c:v>0.52708959640494746</c:v>
                </c:pt>
                <c:pt idx="1393">
                  <c:v>0.52943638619290256</c:v>
                </c:pt>
                <c:pt idx="1394">
                  <c:v>0.52354604698163354</c:v>
                </c:pt>
                <c:pt idx="1395">
                  <c:v>0.53393110962267742</c:v>
                </c:pt>
                <c:pt idx="1396">
                  <c:v>0.53415865993025924</c:v>
                </c:pt>
                <c:pt idx="1397">
                  <c:v>0.54368731146022076</c:v>
                </c:pt>
                <c:pt idx="1398">
                  <c:v>0.54489861335297962</c:v>
                </c:pt>
                <c:pt idx="1399">
                  <c:v>0.56337950081615829</c:v>
                </c:pt>
                <c:pt idx="1400">
                  <c:v>0.56232034907315409</c:v>
                </c:pt>
                <c:pt idx="1401">
                  <c:v>0.56979945013030997</c:v>
                </c:pt>
                <c:pt idx="1402">
                  <c:v>0.55874504014067838</c:v>
                </c:pt>
                <c:pt idx="1403">
                  <c:v>0.56114147052032759</c:v>
                </c:pt>
                <c:pt idx="1404">
                  <c:v>0.53945600301245045</c:v>
                </c:pt>
                <c:pt idx="1405">
                  <c:v>0.55223102532637069</c:v>
                </c:pt>
                <c:pt idx="1406">
                  <c:v>0.53879396679553526</c:v>
                </c:pt>
                <c:pt idx="1407">
                  <c:v>0.55107922552357447</c:v>
                </c:pt>
                <c:pt idx="1408">
                  <c:v>0.56954291210021779</c:v>
                </c:pt>
                <c:pt idx="1409">
                  <c:v>0.58525718383112513</c:v>
                </c:pt>
                <c:pt idx="1410">
                  <c:v>0.54512123329772255</c:v>
                </c:pt>
                <c:pt idx="1411">
                  <c:v>0.54571919133919389</c:v>
                </c:pt>
                <c:pt idx="1412">
                  <c:v>0.58929744690928554</c:v>
                </c:pt>
                <c:pt idx="1413">
                  <c:v>0.58365448730029701</c:v>
                </c:pt>
                <c:pt idx="1414">
                  <c:v>0.59211010862750779</c:v>
                </c:pt>
                <c:pt idx="1415">
                  <c:v>0.57747341661294682</c:v>
                </c:pt>
                <c:pt idx="1416">
                  <c:v>0.57289598703492295</c:v>
                </c:pt>
                <c:pt idx="1417">
                  <c:v>0.55678405928564345</c:v>
                </c:pt>
                <c:pt idx="1418">
                  <c:v>0.56156573496269169</c:v>
                </c:pt>
                <c:pt idx="1419">
                  <c:v>0.59774968865628519</c:v>
                </c:pt>
                <c:pt idx="1420">
                  <c:v>0.56836414330371066</c:v>
                </c:pt>
                <c:pt idx="1421">
                  <c:v>0.54892817411604566</c:v>
                </c:pt>
                <c:pt idx="1422">
                  <c:v>0.54555079741342016</c:v>
                </c:pt>
                <c:pt idx="1423">
                  <c:v>0.54149125296163514</c:v>
                </c:pt>
                <c:pt idx="1424">
                  <c:v>0.54815420886730348</c:v>
                </c:pt>
                <c:pt idx="1425">
                  <c:v>0.59456347184220071</c:v>
                </c:pt>
                <c:pt idx="1426">
                  <c:v>0.60657868776909285</c:v>
                </c:pt>
                <c:pt idx="1427">
                  <c:v>0.61685995949356687</c:v>
                </c:pt>
                <c:pt idx="1428">
                  <c:v>0.62326904000741723</c:v>
                </c:pt>
                <c:pt idx="1429">
                  <c:v>0.61096650938393715</c:v>
                </c:pt>
                <c:pt idx="1430">
                  <c:v>0.59779431658366577</c:v>
                </c:pt>
                <c:pt idx="1431">
                  <c:v>0.59636361333564014</c:v>
                </c:pt>
                <c:pt idx="1432">
                  <c:v>0.59469810661008948</c:v>
                </c:pt>
                <c:pt idx="1433">
                  <c:v>0.60177434879083314</c:v>
                </c:pt>
                <c:pt idx="1434">
                  <c:v>0.61941976395886278</c:v>
                </c:pt>
                <c:pt idx="1435">
                  <c:v>0.62031546380882929</c:v>
                </c:pt>
                <c:pt idx="1436">
                  <c:v>0.63165802221714384</c:v>
                </c:pt>
                <c:pt idx="1437">
                  <c:v>0.62134072149250652</c:v>
                </c:pt>
                <c:pt idx="1438">
                  <c:v>0.62936524986662723</c:v>
                </c:pt>
                <c:pt idx="1439">
                  <c:v>0.60417678703555977</c:v>
                </c:pt>
                <c:pt idx="1440">
                  <c:v>0.55604075948445886</c:v>
                </c:pt>
                <c:pt idx="1441">
                  <c:v>0.54716478867942286</c:v>
                </c:pt>
                <c:pt idx="1442">
                  <c:v>0.54442129227245029</c:v>
                </c:pt>
                <c:pt idx="1443">
                  <c:v>0.55275348517269363</c:v>
                </c:pt>
                <c:pt idx="1444">
                  <c:v>0.53451181241764323</c:v>
                </c:pt>
                <c:pt idx="1445">
                  <c:v>0.55530235207012912</c:v>
                </c:pt>
                <c:pt idx="1446">
                  <c:v>0.54799794672224178</c:v>
                </c:pt>
                <c:pt idx="1447">
                  <c:v>0.55590216219506416</c:v>
                </c:pt>
                <c:pt idx="1448">
                  <c:v>0.57669774012184749</c:v>
                </c:pt>
                <c:pt idx="1449">
                  <c:v>0.55621478855261874</c:v>
                </c:pt>
                <c:pt idx="1450">
                  <c:v>0.58411074134041641</c:v>
                </c:pt>
                <c:pt idx="1451">
                  <c:v>0.59851124331319849</c:v>
                </c:pt>
                <c:pt idx="1452">
                  <c:v>0.60901086764584678</c:v>
                </c:pt>
                <c:pt idx="1453">
                  <c:v>0.6063222368369191</c:v>
                </c:pt>
                <c:pt idx="1454">
                  <c:v>0.61615421670606818</c:v>
                </c:pt>
                <c:pt idx="1455">
                  <c:v>0.6220124801530289</c:v>
                </c:pt>
                <c:pt idx="1456">
                  <c:v>0.61509039194399173</c:v>
                </c:pt>
                <c:pt idx="1457">
                  <c:v>0.56777273449379373</c:v>
                </c:pt>
                <c:pt idx="1458">
                  <c:v>0.60851651322435008</c:v>
                </c:pt>
                <c:pt idx="1459">
                  <c:v>0.59546238081019154</c:v>
                </c:pt>
                <c:pt idx="1460">
                  <c:v>0.59218608740727874</c:v>
                </c:pt>
                <c:pt idx="1461">
                  <c:v>0.62578076301269869</c:v>
                </c:pt>
                <c:pt idx="1462">
                  <c:v>0.62647689713234722</c:v>
                </c:pt>
                <c:pt idx="1463">
                  <c:v>0.63978760194829121</c:v>
                </c:pt>
                <c:pt idx="1464">
                  <c:v>0.60730873248647255</c:v>
                </c:pt>
                <c:pt idx="1465">
                  <c:v>0.59979020169131203</c:v>
                </c:pt>
                <c:pt idx="1466">
                  <c:v>0.56999832949835927</c:v>
                </c:pt>
                <c:pt idx="1467">
                  <c:v>0.58822239060444126</c:v>
                </c:pt>
                <c:pt idx="1468">
                  <c:v>0.61595373210251703</c:v>
                </c:pt>
                <c:pt idx="1469">
                  <c:v>0.5791601653564733</c:v>
                </c:pt>
                <c:pt idx="1470">
                  <c:v>0.57036498278431957</c:v>
                </c:pt>
                <c:pt idx="1471">
                  <c:v>0.55169671937788023</c:v>
                </c:pt>
                <c:pt idx="1472">
                  <c:v>0.56206732972884277</c:v>
                </c:pt>
                <c:pt idx="1473">
                  <c:v>0.56708932840996096</c:v>
                </c:pt>
                <c:pt idx="1474">
                  <c:v>0.60699238730699623</c:v>
                </c:pt>
                <c:pt idx="1475">
                  <c:v>0.61402025805633664</c:v>
                </c:pt>
                <c:pt idx="1476">
                  <c:v>0.63152361909196053</c:v>
                </c:pt>
                <c:pt idx="1477">
                  <c:v>0.62528064956160645</c:v>
                </c:pt>
                <c:pt idx="1478">
                  <c:v>0.61387848704003611</c:v>
                </c:pt>
                <c:pt idx="1479">
                  <c:v>0.60167286245305018</c:v>
                </c:pt>
                <c:pt idx="1480">
                  <c:v>0.59979172968437044</c:v>
                </c:pt>
                <c:pt idx="1481">
                  <c:v>0.59553028064102842</c:v>
                </c:pt>
                <c:pt idx="1482">
                  <c:v>0.61273745887964237</c:v>
                </c:pt>
                <c:pt idx="1483">
                  <c:v>0.62318848491395074</c:v>
                </c:pt>
                <c:pt idx="1484">
                  <c:v>0.63502639103016834</c:v>
                </c:pt>
                <c:pt idx="1485">
                  <c:v>0.63754286229210178</c:v>
                </c:pt>
                <c:pt idx="1486">
                  <c:v>0.63877030927235179</c:v>
                </c:pt>
                <c:pt idx="1487">
                  <c:v>0.63946796163172448</c:v>
                </c:pt>
                <c:pt idx="1488">
                  <c:v>0.58328018237940604</c:v>
                </c:pt>
                <c:pt idx="1489">
                  <c:v>0.53835125170429765</c:v>
                </c:pt>
                <c:pt idx="1490">
                  <c:v>0.56012407674988318</c:v>
                </c:pt>
                <c:pt idx="1491">
                  <c:v>0.54566850693815105</c:v>
                </c:pt>
                <c:pt idx="1492">
                  <c:v>0.56186645167169413</c:v>
                </c:pt>
                <c:pt idx="1493">
                  <c:v>0.54744055150951465</c:v>
                </c:pt>
                <c:pt idx="1494">
                  <c:v>0.56851606296182255</c:v>
                </c:pt>
                <c:pt idx="1495">
                  <c:v>0.58262428634514374</c:v>
                </c:pt>
                <c:pt idx="1496">
                  <c:v>0.58037988483676384</c:v>
                </c:pt>
                <c:pt idx="1497">
                  <c:v>0.59699327729693485</c:v>
                </c:pt>
                <c:pt idx="1498">
                  <c:v>0.58071530103951396</c:v>
                </c:pt>
                <c:pt idx="1499">
                  <c:v>0.61019400443350336</c:v>
                </c:pt>
                <c:pt idx="1500">
                  <c:v>0.62013136831737004</c:v>
                </c:pt>
                <c:pt idx="1501">
                  <c:v>0.62314484035597006</c:v>
                </c:pt>
                <c:pt idx="1502">
                  <c:v>0.64292271140086821</c:v>
                </c:pt>
                <c:pt idx="1503">
                  <c:v>0.64547758433155211</c:v>
                </c:pt>
                <c:pt idx="1504">
                  <c:v>0.64347369977838809</c:v>
                </c:pt>
                <c:pt idx="1505">
                  <c:v>0.6526238873061031</c:v>
                </c:pt>
                <c:pt idx="1506">
                  <c:v>0.63937391670647681</c:v>
                </c:pt>
                <c:pt idx="1507">
                  <c:v>0.60539426671057961</c:v>
                </c:pt>
                <c:pt idx="1508">
                  <c:v>0.63009322749586283</c:v>
                </c:pt>
                <c:pt idx="1509">
                  <c:v>0.64097428518416433</c:v>
                </c:pt>
                <c:pt idx="1510">
                  <c:v>0.63681705306043357</c:v>
                </c:pt>
                <c:pt idx="1511">
                  <c:v>0.66202003766459983</c:v>
                </c:pt>
                <c:pt idx="1512">
                  <c:v>0.65353849830254185</c:v>
                </c:pt>
                <c:pt idx="1513">
                  <c:v>0.61929727586201655</c:v>
                </c:pt>
                <c:pt idx="1514">
                  <c:v>0.59695812460497011</c:v>
                </c:pt>
                <c:pt idx="1515">
                  <c:v>0.6201763581310612</c:v>
                </c:pt>
                <c:pt idx="1516">
                  <c:v>0.57576751823942518</c:v>
                </c:pt>
                <c:pt idx="1517">
                  <c:v>0.60110457905985304</c:v>
                </c:pt>
                <c:pt idx="1518">
                  <c:v>0.55429819805332403</c:v>
                </c:pt>
                <c:pt idx="1519">
                  <c:v>0.55311250195674044</c:v>
                </c:pt>
                <c:pt idx="1520">
                  <c:v>0.57569138070711434</c:v>
                </c:pt>
                <c:pt idx="1521">
                  <c:v>0.60530202869998351</c:v>
                </c:pt>
                <c:pt idx="1522">
                  <c:v>0.62275794958759034</c:v>
                </c:pt>
                <c:pt idx="1523">
                  <c:v>0.6360971564925989</c:v>
                </c:pt>
                <c:pt idx="1524">
                  <c:v>0.61633948016655871</c:v>
                </c:pt>
                <c:pt idx="1525">
                  <c:v>0.63034578866207613</c:v>
                </c:pt>
                <c:pt idx="1526">
                  <c:v>0.62395392996823495</c:v>
                </c:pt>
                <c:pt idx="1527">
                  <c:v>0.63129214536237277</c:v>
                </c:pt>
                <c:pt idx="1528">
                  <c:v>0.59396135713232645</c:v>
                </c:pt>
                <c:pt idx="1529">
                  <c:v>0.60182367084480604</c:v>
                </c:pt>
                <c:pt idx="1530">
                  <c:v>0.61326565624535267</c:v>
                </c:pt>
                <c:pt idx="1531">
                  <c:v>0.6148523085052805</c:v>
                </c:pt>
                <c:pt idx="1532">
                  <c:v>0.61102192444516124</c:v>
                </c:pt>
                <c:pt idx="1533">
                  <c:v>0.60030581234356883</c:v>
                </c:pt>
                <c:pt idx="1534">
                  <c:v>0.6101018210795579</c:v>
                </c:pt>
                <c:pt idx="1535">
                  <c:v>0.59757968771795023</c:v>
                </c:pt>
                <c:pt idx="1536">
                  <c:v>0.57879674205668807</c:v>
                </c:pt>
                <c:pt idx="1537">
                  <c:v>0.5459376846418823</c:v>
                </c:pt>
                <c:pt idx="1538">
                  <c:v>0.53064721363533607</c:v>
                </c:pt>
                <c:pt idx="1539">
                  <c:v>0.53387991977438187</c:v>
                </c:pt>
                <c:pt idx="1540">
                  <c:v>0.53479154183114963</c:v>
                </c:pt>
                <c:pt idx="1541">
                  <c:v>0.54637162635073688</c:v>
                </c:pt>
                <c:pt idx="1542">
                  <c:v>0.53615160599047729</c:v>
                </c:pt>
                <c:pt idx="1543">
                  <c:v>0.53395676578785545</c:v>
                </c:pt>
                <c:pt idx="1544">
                  <c:v>0.54862290381943546</c:v>
                </c:pt>
                <c:pt idx="1545">
                  <c:v>0.54521678371813598</c:v>
                </c:pt>
                <c:pt idx="1546">
                  <c:v>0.56094947332707257</c:v>
                </c:pt>
                <c:pt idx="1547">
                  <c:v>0.53719099115232161</c:v>
                </c:pt>
                <c:pt idx="1548">
                  <c:v>0.54222845302778055</c:v>
                </c:pt>
                <c:pt idx="1549">
                  <c:v>0.55413697825942654</c:v>
                </c:pt>
                <c:pt idx="1550">
                  <c:v>0.5507290321987055</c:v>
                </c:pt>
                <c:pt idx="1551">
                  <c:v>0.58369311197995288</c:v>
                </c:pt>
                <c:pt idx="1552">
                  <c:v>0.54375548804712748</c:v>
                </c:pt>
                <c:pt idx="1553">
                  <c:v>0.65913452722313126</c:v>
                </c:pt>
                <c:pt idx="1554">
                  <c:v>0.6235408936057939</c:v>
                </c:pt>
                <c:pt idx="1555">
                  <c:v>0.6173645132076625</c:v>
                </c:pt>
                <c:pt idx="1556">
                  <c:v>0.66294623684920806</c:v>
                </c:pt>
                <c:pt idx="1557">
                  <c:v>0.65732285230653886</c:v>
                </c:pt>
                <c:pt idx="1558">
                  <c:v>0.66786221096648224</c:v>
                </c:pt>
                <c:pt idx="1559">
                  <c:v>0.6844417468805355</c:v>
                </c:pt>
                <c:pt idx="1560">
                  <c:v>0.67715216528728717</c:v>
                </c:pt>
                <c:pt idx="1561">
                  <c:v>0.63295730338262091</c:v>
                </c:pt>
                <c:pt idx="1562">
                  <c:v>0.60038909033038368</c:v>
                </c:pt>
                <c:pt idx="1563">
                  <c:v>0.60165264927974438</c:v>
                </c:pt>
                <c:pt idx="1564">
                  <c:v>0.57230339642974359</c:v>
                </c:pt>
                <c:pt idx="1565">
                  <c:v>0.58961487582111538</c:v>
                </c:pt>
                <c:pt idx="1566">
                  <c:v>0.57963522542315282</c:v>
                </c:pt>
                <c:pt idx="1567">
                  <c:v>0.56840802362813769</c:v>
                </c:pt>
                <c:pt idx="1568">
                  <c:v>0.58428485190812873</c:v>
                </c:pt>
                <c:pt idx="1569">
                  <c:v>0.6106637821954829</c:v>
                </c:pt>
                <c:pt idx="1570">
                  <c:v>0.63118839373044799</c:v>
                </c:pt>
                <c:pt idx="1571">
                  <c:v>0.64049286562220087</c:v>
                </c:pt>
                <c:pt idx="1572">
                  <c:v>0.6226339143177142</c:v>
                </c:pt>
                <c:pt idx="1573">
                  <c:v>0.63191970999729219</c:v>
                </c:pt>
                <c:pt idx="1574">
                  <c:v>0.63291189918023694</c:v>
                </c:pt>
                <c:pt idx="1575">
                  <c:v>0.63235159087530024</c:v>
                </c:pt>
                <c:pt idx="1576">
                  <c:v>0.60263168928229494</c:v>
                </c:pt>
                <c:pt idx="1577">
                  <c:v>0.59681275998703409</c:v>
                </c:pt>
                <c:pt idx="1578">
                  <c:v>0.60418218928741696</c:v>
                </c:pt>
                <c:pt idx="1579">
                  <c:v>0.61396385098995854</c:v>
                </c:pt>
                <c:pt idx="1580">
                  <c:v>0.61797295203360503</c:v>
                </c:pt>
                <c:pt idx="1581">
                  <c:v>0.59774278023797911</c:v>
                </c:pt>
                <c:pt idx="1582">
                  <c:v>0.61149569505298906</c:v>
                </c:pt>
                <c:pt idx="1583">
                  <c:v>0.60950530035627304</c:v>
                </c:pt>
                <c:pt idx="1584">
                  <c:v>0.58649289724282538</c:v>
                </c:pt>
                <c:pt idx="1585">
                  <c:v>0.56039663466308764</c:v>
                </c:pt>
                <c:pt idx="1586">
                  <c:v>0.53461327636471878</c:v>
                </c:pt>
                <c:pt idx="1587">
                  <c:v>0.54940755652600204</c:v>
                </c:pt>
                <c:pt idx="1588">
                  <c:v>0.54026538972432758</c:v>
                </c:pt>
                <c:pt idx="1589">
                  <c:v>0.55922809336970336</c:v>
                </c:pt>
                <c:pt idx="1590">
                  <c:v>0.55999993448693952</c:v>
                </c:pt>
                <c:pt idx="1591">
                  <c:v>0.56701718585347183</c:v>
                </c:pt>
                <c:pt idx="1592">
                  <c:v>0.58456527315888462</c:v>
                </c:pt>
                <c:pt idx="1593">
                  <c:v>0.58543557354112874</c:v>
                </c:pt>
                <c:pt idx="1594">
                  <c:v>0.58845446433180126</c:v>
                </c:pt>
                <c:pt idx="1595">
                  <c:v>0.57730689809505886</c:v>
                </c:pt>
                <c:pt idx="1596">
                  <c:v>0.58895751845644528</c:v>
                </c:pt>
                <c:pt idx="1597">
                  <c:v>0.59297519149069056</c:v>
                </c:pt>
                <c:pt idx="1598">
                  <c:v>0.59457219841201459</c:v>
                </c:pt>
                <c:pt idx="1599">
                  <c:v>0.61256813886995365</c:v>
                </c:pt>
                <c:pt idx="1600">
                  <c:v>0.60200385513829702</c:v>
                </c:pt>
                <c:pt idx="1601">
                  <c:v>0.59743047077498035</c:v>
                </c:pt>
                <c:pt idx="1602">
                  <c:v>0.54651885065626582</c:v>
                </c:pt>
                <c:pt idx="1603">
                  <c:v>0.55176560071969372</c:v>
                </c:pt>
                <c:pt idx="1604">
                  <c:v>0.56658938030931438</c:v>
                </c:pt>
                <c:pt idx="1605">
                  <c:v>0.59605075049822864</c:v>
                </c:pt>
                <c:pt idx="1606">
                  <c:v>0.57132070421335535</c:v>
                </c:pt>
                <c:pt idx="1607">
                  <c:v>0.56693961629414114</c:v>
                </c:pt>
                <c:pt idx="1608">
                  <c:v>0.55769110652551135</c:v>
                </c:pt>
                <c:pt idx="1609">
                  <c:v>0.55747291414570987</c:v>
                </c:pt>
                <c:pt idx="1610">
                  <c:v>0.57172268709527241</c:v>
                </c:pt>
                <c:pt idx="1611">
                  <c:v>0.58209985575769596</c:v>
                </c:pt>
                <c:pt idx="1612">
                  <c:v>0.55858426294265318</c:v>
                </c:pt>
                <c:pt idx="1613">
                  <c:v>0.55137667409139479</c:v>
                </c:pt>
                <c:pt idx="1614">
                  <c:v>0.53542945195822311</c:v>
                </c:pt>
                <c:pt idx="1615">
                  <c:v>0.55644555310899724</c:v>
                </c:pt>
                <c:pt idx="1616">
                  <c:v>0.58039449338610749</c:v>
                </c:pt>
                <c:pt idx="1617">
                  <c:v>0.62208516661087987</c:v>
                </c:pt>
                <c:pt idx="1618">
                  <c:v>0.6345020574910647</c:v>
                </c:pt>
                <c:pt idx="1619">
                  <c:v>0.6213525612422075</c:v>
                </c:pt>
                <c:pt idx="1620">
                  <c:v>0.63020985940488328</c:v>
                </c:pt>
                <c:pt idx="1621">
                  <c:v>0.62165218638611563</c:v>
                </c:pt>
                <c:pt idx="1622">
                  <c:v>0.64710185932504305</c:v>
                </c:pt>
                <c:pt idx="1623">
                  <c:v>0.61990009712052563</c:v>
                </c:pt>
                <c:pt idx="1624">
                  <c:v>0.60625933701873735</c:v>
                </c:pt>
                <c:pt idx="1625">
                  <c:v>0.6164623850782166</c:v>
                </c:pt>
                <c:pt idx="1626">
                  <c:v>0.63047099720736011</c:v>
                </c:pt>
                <c:pt idx="1627">
                  <c:v>0.63009455072109732</c:v>
                </c:pt>
                <c:pt idx="1628">
                  <c:v>0.60871500682935242</c:v>
                </c:pt>
                <c:pt idx="1629">
                  <c:v>0.62001106015870466</c:v>
                </c:pt>
                <c:pt idx="1630">
                  <c:v>0.60836736944584446</c:v>
                </c:pt>
                <c:pt idx="1631">
                  <c:v>0.56531997184994809</c:v>
                </c:pt>
                <c:pt idx="1632">
                  <c:v>0.55646123051739038</c:v>
                </c:pt>
                <c:pt idx="1633">
                  <c:v>0.54785048500861799</c:v>
                </c:pt>
                <c:pt idx="1634">
                  <c:v>0.54283102670866168</c:v>
                </c:pt>
                <c:pt idx="1635">
                  <c:v>0.53639226789475825</c:v>
                </c:pt>
                <c:pt idx="1636">
                  <c:v>0.54258033608538958</c:v>
                </c:pt>
                <c:pt idx="1637">
                  <c:v>0.54927528561849681</c:v>
                </c:pt>
                <c:pt idx="1638">
                  <c:v>0.5426681067134711</c:v>
                </c:pt>
                <c:pt idx="1639">
                  <c:v>0.53399461221496669</c:v>
                </c:pt>
                <c:pt idx="1640">
                  <c:v>0.55773872380527967</c:v>
                </c:pt>
                <c:pt idx="1641">
                  <c:v>0.54348594798746575</c:v>
                </c:pt>
                <c:pt idx="1642">
                  <c:v>0.54248009402707287</c:v>
                </c:pt>
                <c:pt idx="1643">
                  <c:v>0.55394428453384859</c:v>
                </c:pt>
                <c:pt idx="1644">
                  <c:v>0.54546373119030478</c:v>
                </c:pt>
                <c:pt idx="1645">
                  <c:v>0.54972917815092237</c:v>
                </c:pt>
                <c:pt idx="1646">
                  <c:v>0.55976746101113839</c:v>
                </c:pt>
                <c:pt idx="1647">
                  <c:v>0.54918847243362823</c:v>
                </c:pt>
                <c:pt idx="1648">
                  <c:v>0.51215494394699579</c:v>
                </c:pt>
                <c:pt idx="1649">
                  <c:v>0.63252541742080315</c:v>
                </c:pt>
                <c:pt idx="1650">
                  <c:v>0.63761809759458765</c:v>
                </c:pt>
                <c:pt idx="1651">
                  <c:v>0.57923306528924356</c:v>
                </c:pt>
                <c:pt idx="1652">
                  <c:v>0.58952604146056165</c:v>
                </c:pt>
                <c:pt idx="1653">
                  <c:v>0.59295102143236678</c:v>
                </c:pt>
                <c:pt idx="1654">
                  <c:v>0.61008636646351877</c:v>
                </c:pt>
                <c:pt idx="1655">
                  <c:v>0.60642704962719385</c:v>
                </c:pt>
                <c:pt idx="1656">
                  <c:v>0.59935221012410833</c:v>
                </c:pt>
                <c:pt idx="1657">
                  <c:v>0.5821635119495624</c:v>
                </c:pt>
                <c:pt idx="1658">
                  <c:v>0.58287934235612027</c:v>
                </c:pt>
                <c:pt idx="1659">
                  <c:v>0.58944210702516742</c:v>
                </c:pt>
                <c:pt idx="1660">
                  <c:v>0.60273306023927709</c:v>
                </c:pt>
                <c:pt idx="1661">
                  <c:v>0.57285929314500827</c:v>
                </c:pt>
                <c:pt idx="1662">
                  <c:v>0.56595909237817077</c:v>
                </c:pt>
                <c:pt idx="1663">
                  <c:v>0.5586524205450687</c:v>
                </c:pt>
                <c:pt idx="1664">
                  <c:v>0.56997331382123095</c:v>
                </c:pt>
                <c:pt idx="1665">
                  <c:v>0.58914155356188047</c:v>
                </c:pt>
                <c:pt idx="1666">
                  <c:v>0.61939159684204204</c:v>
                </c:pt>
                <c:pt idx="1667">
                  <c:v>0.6411751575035709</c:v>
                </c:pt>
                <c:pt idx="1668">
                  <c:v>0.62703724588584997</c:v>
                </c:pt>
                <c:pt idx="1669">
                  <c:v>0.64241228304910536</c:v>
                </c:pt>
                <c:pt idx="1670">
                  <c:v>0.63415510773767736</c:v>
                </c:pt>
                <c:pt idx="1671">
                  <c:v>0.63288884133138446</c:v>
                </c:pt>
                <c:pt idx="1672">
                  <c:v>0.6229133060678701</c:v>
                </c:pt>
                <c:pt idx="1673">
                  <c:v>0.6211593460379965</c:v>
                </c:pt>
                <c:pt idx="1674">
                  <c:v>0.62927164281953074</c:v>
                </c:pt>
                <c:pt idx="1675">
                  <c:v>0.63881320963933064</c:v>
                </c:pt>
                <c:pt idx="1676">
                  <c:v>0.64288367424093495</c:v>
                </c:pt>
                <c:pt idx="1677">
                  <c:v>0.61848541506588761</c:v>
                </c:pt>
                <c:pt idx="1678">
                  <c:v>0.62193407712652815</c:v>
                </c:pt>
                <c:pt idx="1679">
                  <c:v>0.6127220977719039</c:v>
                </c:pt>
                <c:pt idx="1680">
                  <c:v>0.56892322701945286</c:v>
                </c:pt>
                <c:pt idx="1681">
                  <c:v>0.55743621722826919</c:v>
                </c:pt>
                <c:pt idx="1682">
                  <c:v>0.55409854335437225</c:v>
                </c:pt>
                <c:pt idx="1683">
                  <c:v>0.54753436209036244</c:v>
                </c:pt>
                <c:pt idx="1684">
                  <c:v>0.54892878763196307</c:v>
                </c:pt>
                <c:pt idx="1685">
                  <c:v>0.56641415634223802</c:v>
                </c:pt>
                <c:pt idx="1686">
                  <c:v>0.58098447336354886</c:v>
                </c:pt>
                <c:pt idx="1687">
                  <c:v>0.57003760354233035</c:v>
                </c:pt>
                <c:pt idx="1688">
                  <c:v>0.55509311786895432</c:v>
                </c:pt>
                <c:pt idx="1689">
                  <c:v>0.59554615179800563</c:v>
                </c:pt>
                <c:pt idx="1690">
                  <c:v>0.58516982400372031</c:v>
                </c:pt>
                <c:pt idx="1691">
                  <c:v>0.57619444858258573</c:v>
                </c:pt>
                <c:pt idx="1692">
                  <c:v>0.58857465464652359</c:v>
                </c:pt>
                <c:pt idx="1693">
                  <c:v>0.57502668715724836</c:v>
                </c:pt>
                <c:pt idx="1694">
                  <c:v>0.58694033482018593</c:v>
                </c:pt>
                <c:pt idx="1695">
                  <c:v>0.59539777793491488</c:v>
                </c:pt>
                <c:pt idx="1696">
                  <c:v>0.58558051058355376</c:v>
                </c:pt>
                <c:pt idx="1697">
                  <c:v>0.57591848486721053</c:v>
                </c:pt>
                <c:pt idx="1698">
                  <c:v>0.55389721983495965</c:v>
                </c:pt>
                <c:pt idx="1699">
                  <c:v>0.57394729601035666</c:v>
                </c:pt>
                <c:pt idx="1700">
                  <c:v>0.57838440261204549</c:v>
                </c:pt>
                <c:pt idx="1701">
                  <c:v>0.60490062996198291</c:v>
                </c:pt>
                <c:pt idx="1702">
                  <c:v>0.58129357056566056</c:v>
                </c:pt>
                <c:pt idx="1703">
                  <c:v>0.58556630099671014</c:v>
                </c:pt>
                <c:pt idx="1704">
                  <c:v>0.54956527277556999</c:v>
                </c:pt>
                <c:pt idx="1705">
                  <c:v>0.59193377331407848</c:v>
                </c:pt>
                <c:pt idx="1706">
                  <c:v>0.58085213120097456</c:v>
                </c:pt>
                <c:pt idx="1707">
                  <c:v>0.57118573346679191</c:v>
                </c:pt>
                <c:pt idx="1708">
                  <c:v>0.56855324292201459</c:v>
                </c:pt>
                <c:pt idx="1709">
                  <c:v>0.57357067141770701</c:v>
                </c:pt>
                <c:pt idx="1710">
                  <c:v>0.56354183490895204</c:v>
                </c:pt>
                <c:pt idx="1711">
                  <c:v>0.55631987219913703</c:v>
                </c:pt>
                <c:pt idx="1712">
                  <c:v>0.55910129744886505</c:v>
                </c:pt>
                <c:pt idx="1713">
                  <c:v>0.60497548236117749</c:v>
                </c:pt>
                <c:pt idx="1714">
                  <c:v>0.61704691513314991</c:v>
                </c:pt>
                <c:pt idx="1715">
                  <c:v>0.62275732846414511</c:v>
                </c:pt>
                <c:pt idx="1716">
                  <c:v>0.62739289672810095</c:v>
                </c:pt>
                <c:pt idx="1717">
                  <c:v>0.62120828124215688</c:v>
                </c:pt>
                <c:pt idx="1718">
                  <c:v>0.61969049238855045</c:v>
                </c:pt>
                <c:pt idx="1719">
                  <c:v>0.62083712955175274</c:v>
                </c:pt>
                <c:pt idx="1720">
                  <c:v>0.60324129286734085</c:v>
                </c:pt>
                <c:pt idx="1721">
                  <c:v>0.6026469777545842</c:v>
                </c:pt>
                <c:pt idx="1722">
                  <c:v>0.62305629668844842</c:v>
                </c:pt>
                <c:pt idx="1723">
                  <c:v>0.62990223363351194</c:v>
                </c:pt>
                <c:pt idx="1724">
                  <c:v>0.63273923897195139</c:v>
                </c:pt>
                <c:pt idx="1725">
                  <c:v>0.63971592738713312</c:v>
                </c:pt>
                <c:pt idx="1726">
                  <c:v>0.65717856675644815</c:v>
                </c:pt>
                <c:pt idx="1727">
                  <c:v>0.60376309913969295</c:v>
                </c:pt>
                <c:pt idx="1728">
                  <c:v>0.55232027623257607</c:v>
                </c:pt>
                <c:pt idx="1729">
                  <c:v>0.54230719994526233</c:v>
                </c:pt>
                <c:pt idx="1730">
                  <c:v>0.53017574088504504</c:v>
                </c:pt>
                <c:pt idx="1731">
                  <c:v>0.54019879131557047</c:v>
                </c:pt>
                <c:pt idx="1732">
                  <c:v>0.51899008665252611</c:v>
                </c:pt>
                <c:pt idx="1733">
                  <c:v>0.55603556891983286</c:v>
                </c:pt>
                <c:pt idx="1734">
                  <c:v>0.56067391825288992</c:v>
                </c:pt>
                <c:pt idx="1735">
                  <c:v>0.57821444794818844</c:v>
                </c:pt>
                <c:pt idx="1736">
                  <c:v>0.5515955110411932</c:v>
                </c:pt>
                <c:pt idx="1737">
                  <c:v>0.56671565798397494</c:v>
                </c:pt>
                <c:pt idx="1738">
                  <c:v>0.57097631758545675</c:v>
                </c:pt>
                <c:pt idx="1739">
                  <c:v>0.59611371533861768</c:v>
                </c:pt>
                <c:pt idx="1740">
                  <c:v>0.58252242640961172</c:v>
                </c:pt>
                <c:pt idx="1741">
                  <c:v>0.56214494117413372</c:v>
                </c:pt>
                <c:pt idx="1742">
                  <c:v>0.56998219805847983</c:v>
                </c:pt>
                <c:pt idx="1743">
                  <c:v>0.634146637165939</c:v>
                </c:pt>
                <c:pt idx="1744">
                  <c:v>0.60319635488347889</c:v>
                </c:pt>
                <c:pt idx="1745">
                  <c:v>0.41310722331221994</c:v>
                </c:pt>
                <c:pt idx="1746">
                  <c:v>0.61050898526959019</c:v>
                </c:pt>
                <c:pt idx="1747">
                  <c:v>0.59042215574173573</c:v>
                </c:pt>
                <c:pt idx="1748">
                  <c:v>0.58390825993466733</c:v>
                </c:pt>
                <c:pt idx="1749">
                  <c:v>0.63641216403844247</c:v>
                </c:pt>
                <c:pt idx="1750">
                  <c:v>0.62881279892444186</c:v>
                </c:pt>
                <c:pt idx="1751">
                  <c:v>0.66979601403822464</c:v>
                </c:pt>
                <c:pt idx="1752">
                  <c:v>0.59395637932644108</c:v>
                </c:pt>
                <c:pt idx="1753">
                  <c:v>0.58800791192566937</c:v>
                </c:pt>
                <c:pt idx="1754">
                  <c:v>0.61055870941688706</c:v>
                </c:pt>
                <c:pt idx="1755">
                  <c:v>0.61911045151403332</c:v>
                </c:pt>
                <c:pt idx="1756">
                  <c:v>0.61095512768036786</c:v>
                </c:pt>
                <c:pt idx="1757">
                  <c:v>0.59781898607404893</c:v>
                </c:pt>
                <c:pt idx="1758">
                  <c:v>0.60003799372606703</c:v>
                </c:pt>
                <c:pt idx="1759">
                  <c:v>0.61064643150315012</c:v>
                </c:pt>
                <c:pt idx="1760">
                  <c:v>0.58475513311949201</c:v>
                </c:pt>
                <c:pt idx="1761">
                  <c:v>0.57600207635145317</c:v>
                </c:pt>
                <c:pt idx="1762">
                  <c:v>0.60356200419848283</c:v>
                </c:pt>
                <c:pt idx="1763">
                  <c:v>0.62815905080047119</c:v>
                </c:pt>
                <c:pt idx="1764">
                  <c:v>0.62748813834099082</c:v>
                </c:pt>
                <c:pt idx="1765">
                  <c:v>0.63812389659771984</c:v>
                </c:pt>
                <c:pt idx="1766">
                  <c:v>0.62695400346243935</c:v>
                </c:pt>
                <c:pt idx="1767">
                  <c:v>0.62509638202786721</c:v>
                </c:pt>
                <c:pt idx="1768">
                  <c:v>0.6237363576202436</c:v>
                </c:pt>
                <c:pt idx="1769">
                  <c:v>0.60994543762829578</c:v>
                </c:pt>
                <c:pt idx="1770">
                  <c:v>0.6050869820400705</c:v>
                </c:pt>
                <c:pt idx="1771">
                  <c:v>0.6240224731386701</c:v>
                </c:pt>
                <c:pt idx="1772">
                  <c:v>0.63345189147416847</c:v>
                </c:pt>
                <c:pt idx="1773">
                  <c:v>0.62767937776264526</c:v>
                </c:pt>
                <c:pt idx="1774">
                  <c:v>0.64457929384126111</c:v>
                </c:pt>
                <c:pt idx="1775">
                  <c:v>0.65422661285631645</c:v>
                </c:pt>
                <c:pt idx="1776">
                  <c:v>0.62938135884853941</c:v>
                </c:pt>
                <c:pt idx="1777">
                  <c:v>0.56394740487059047</c:v>
                </c:pt>
                <c:pt idx="1778">
                  <c:v>0.55408969193222701</c:v>
                </c:pt>
                <c:pt idx="1779">
                  <c:v>0.52734139228755539</c:v>
                </c:pt>
                <c:pt idx="1780">
                  <c:v>0.55858066277186957</c:v>
                </c:pt>
                <c:pt idx="1781">
                  <c:v>0.53754143551243894</c:v>
                </c:pt>
                <c:pt idx="1782">
                  <c:v>0.56045064776320563</c:v>
                </c:pt>
                <c:pt idx="1783">
                  <c:v>0.57588342930490977</c:v>
                </c:pt>
                <c:pt idx="1784">
                  <c:v>0.60557200668600475</c:v>
                </c:pt>
                <c:pt idx="1785">
                  <c:v>0.60828271773290954</c:v>
                </c:pt>
                <c:pt idx="1786">
                  <c:v>0.59668603442680024</c:v>
                </c:pt>
                <c:pt idx="1787">
                  <c:v>0.61285746869180502</c:v>
                </c:pt>
                <c:pt idx="1788">
                  <c:v>0.63392795856499373</c:v>
                </c:pt>
                <c:pt idx="1789">
                  <c:v>0.62327555407955515</c:v>
                </c:pt>
                <c:pt idx="1790">
                  <c:v>0.61058053513541222</c:v>
                </c:pt>
                <c:pt idx="1791">
                  <c:v>0.60860892670611266</c:v>
                </c:pt>
                <c:pt idx="1792">
                  <c:v>0.6504395402459906</c:v>
                </c:pt>
                <c:pt idx="1793">
                  <c:v>0.60599645698051219</c:v>
                </c:pt>
                <c:pt idx="1794">
                  <c:v>0.56735613995669953</c:v>
                </c:pt>
                <c:pt idx="1795">
                  <c:v>0.57320717982940783</c:v>
                </c:pt>
                <c:pt idx="1796">
                  <c:v>0.59610964271424161</c:v>
                </c:pt>
                <c:pt idx="1797">
                  <c:v>0.63795329651670674</c:v>
                </c:pt>
                <c:pt idx="1798">
                  <c:v>0.63323043739112106</c:v>
                </c:pt>
                <c:pt idx="1799">
                  <c:v>0.60756342245606787</c:v>
                </c:pt>
                <c:pt idx="1800">
                  <c:v>0.59810987071682131</c:v>
                </c:pt>
                <c:pt idx="1801">
                  <c:v>0.63566074606152811</c:v>
                </c:pt>
                <c:pt idx="1802">
                  <c:v>0.60136543364637307</c:v>
                </c:pt>
                <c:pt idx="1803">
                  <c:v>0.61275038297700357</c:v>
                </c:pt>
                <c:pt idx="1804">
                  <c:v>0.59893466422725494</c:v>
                </c:pt>
                <c:pt idx="1805">
                  <c:v>0.61263882051765461</c:v>
                </c:pt>
                <c:pt idx="1806">
                  <c:v>0.58023194559259927</c:v>
                </c:pt>
                <c:pt idx="1807">
                  <c:v>0.6034797653504731</c:v>
                </c:pt>
                <c:pt idx="1808">
                  <c:v>0.59684583663632373</c:v>
                </c:pt>
                <c:pt idx="1809">
                  <c:v>0.60624417518716744</c:v>
                </c:pt>
                <c:pt idx="1810">
                  <c:v>0.58074118805144581</c:v>
                </c:pt>
                <c:pt idx="1811">
                  <c:v>0.59888577855263403</c:v>
                </c:pt>
                <c:pt idx="1812">
                  <c:v>0.57637913333410085</c:v>
                </c:pt>
                <c:pt idx="1813">
                  <c:v>0.59835577598188294</c:v>
                </c:pt>
                <c:pt idx="1814">
                  <c:v>0.58286810806223521</c:v>
                </c:pt>
                <c:pt idx="1815">
                  <c:v>0.57887325339093387</c:v>
                </c:pt>
                <c:pt idx="1816">
                  <c:v>0.57763677025122528</c:v>
                </c:pt>
                <c:pt idx="1817">
                  <c:v>0.58655613786135541</c:v>
                </c:pt>
                <c:pt idx="1818">
                  <c:v>0.56990305180630796</c:v>
                </c:pt>
                <c:pt idx="1819">
                  <c:v>0.58154792934018007</c:v>
                </c:pt>
                <c:pt idx="1820">
                  <c:v>0.55238272878225703</c:v>
                </c:pt>
                <c:pt idx="1821">
                  <c:v>0.58048259078153275</c:v>
                </c:pt>
                <c:pt idx="1822">
                  <c:v>0.56434087252228837</c:v>
                </c:pt>
                <c:pt idx="1823">
                  <c:v>0.56634378761921644</c:v>
                </c:pt>
                <c:pt idx="1824">
                  <c:v>0.57830367670562088</c:v>
                </c:pt>
                <c:pt idx="1825">
                  <c:v>0.57778651453679408</c:v>
                </c:pt>
                <c:pt idx="1826">
                  <c:v>0.56916268110051271</c:v>
                </c:pt>
                <c:pt idx="1827">
                  <c:v>0.57305909797489996</c:v>
                </c:pt>
                <c:pt idx="1828">
                  <c:v>0.6011865073221726</c:v>
                </c:pt>
                <c:pt idx="1829">
                  <c:v>0.59490842440588365</c:v>
                </c:pt>
                <c:pt idx="1830">
                  <c:v>0.57146868091322478</c:v>
                </c:pt>
                <c:pt idx="1831">
                  <c:v>0.60911289715550387</c:v>
                </c:pt>
                <c:pt idx="1832">
                  <c:v>0.60743518461856083</c:v>
                </c:pt>
                <c:pt idx="1833">
                  <c:v>0.60486028628710942</c:v>
                </c:pt>
                <c:pt idx="1834">
                  <c:v>0.59397794940656123</c:v>
                </c:pt>
                <c:pt idx="1835">
                  <c:v>0.61836527745466008</c:v>
                </c:pt>
                <c:pt idx="1836">
                  <c:v>0.62647679449451632</c:v>
                </c:pt>
                <c:pt idx="1837">
                  <c:v>0.61584540878196659</c:v>
                </c:pt>
                <c:pt idx="1838">
                  <c:v>0.58213770958199595</c:v>
                </c:pt>
                <c:pt idx="1839">
                  <c:v>0.60241477354015482</c:v>
                </c:pt>
                <c:pt idx="1840">
                  <c:v>0.53959819340909831</c:v>
                </c:pt>
                <c:pt idx="1841">
                  <c:v>0.63817655221421032</c:v>
                </c:pt>
                <c:pt idx="1842">
                  <c:v>0.64655271366968525</c:v>
                </c:pt>
                <c:pt idx="1843">
                  <c:v>0.57774449029427277</c:v>
                </c:pt>
                <c:pt idx="1844">
                  <c:v>0.63786272231838104</c:v>
                </c:pt>
                <c:pt idx="1845">
                  <c:v>0.65105499305966008</c:v>
                </c:pt>
                <c:pt idx="1846">
                  <c:v>0.68072058633462229</c:v>
                </c:pt>
                <c:pt idx="1847">
                  <c:v>0.65679347505411545</c:v>
                </c:pt>
                <c:pt idx="1848">
                  <c:v>0.64293931348386169</c:v>
                </c:pt>
                <c:pt idx="1849">
                  <c:v>0.65987495439028787</c:v>
                </c:pt>
                <c:pt idx="1850">
                  <c:v>0.6360616172485013</c:v>
                </c:pt>
                <c:pt idx="1851">
                  <c:v>0.62559927873931276</c:v>
                </c:pt>
                <c:pt idx="1852">
                  <c:v>0.62846290709171604</c:v>
                </c:pt>
                <c:pt idx="1853">
                  <c:v>0.64033721135607025</c:v>
                </c:pt>
                <c:pt idx="1854">
                  <c:v>0.63344027602341402</c:v>
                </c:pt>
                <c:pt idx="1855">
                  <c:v>0.62676429055089877</c:v>
                </c:pt>
                <c:pt idx="1856">
                  <c:v>0.63967411176313682</c:v>
                </c:pt>
                <c:pt idx="1857">
                  <c:v>0.63593941635783413</c:v>
                </c:pt>
                <c:pt idx="1858">
                  <c:v>0.62299836115514351</c:v>
                </c:pt>
                <c:pt idx="1859">
                  <c:v>0.61413041028396542</c:v>
                </c:pt>
                <c:pt idx="1860">
                  <c:v>0.61108520171219416</c:v>
                </c:pt>
                <c:pt idx="1861">
                  <c:v>0.59511599264172454</c:v>
                </c:pt>
                <c:pt idx="1862">
                  <c:v>0.61403388338386911</c:v>
                </c:pt>
                <c:pt idx="1863">
                  <c:v>0.59461118967676263</c:v>
                </c:pt>
                <c:pt idx="1864">
                  <c:v>0.5852709521233147</c:v>
                </c:pt>
                <c:pt idx="1865">
                  <c:v>0.59111538310522427</c:v>
                </c:pt>
                <c:pt idx="1866">
                  <c:v>0.58378190173673994</c:v>
                </c:pt>
                <c:pt idx="1867">
                  <c:v>0.59242804233475621</c:v>
                </c:pt>
                <c:pt idx="1868">
                  <c:v>0.56293146202601296</c:v>
                </c:pt>
                <c:pt idx="1869">
                  <c:v>0.57571249290579174</c:v>
                </c:pt>
                <c:pt idx="1870">
                  <c:v>0.57756210849041512</c:v>
                </c:pt>
                <c:pt idx="1871">
                  <c:v>0.56788621779486681</c:v>
                </c:pt>
                <c:pt idx="1872">
                  <c:v>0.58572156626411898</c:v>
                </c:pt>
                <c:pt idx="1873">
                  <c:v>0.58288036364115425</c:v>
                </c:pt>
                <c:pt idx="1874">
                  <c:v>0.57236896975866292</c:v>
                </c:pt>
                <c:pt idx="1875">
                  <c:v>0.56069493727714315</c:v>
                </c:pt>
                <c:pt idx="1876">
                  <c:v>0.59893050861209918</c:v>
                </c:pt>
                <c:pt idx="1877">
                  <c:v>0.6135454283679862</c:v>
                </c:pt>
                <c:pt idx="1878">
                  <c:v>0.60827008812361238</c:v>
                </c:pt>
                <c:pt idx="1879">
                  <c:v>0.61861053614594341</c:v>
                </c:pt>
                <c:pt idx="1880">
                  <c:v>0.64665040992259648</c:v>
                </c:pt>
                <c:pt idx="1881">
                  <c:v>0.64676865472169354</c:v>
                </c:pt>
                <c:pt idx="1882">
                  <c:v>0.64184409471037274</c:v>
                </c:pt>
                <c:pt idx="1883">
                  <c:v>0.64121901153221617</c:v>
                </c:pt>
                <c:pt idx="1884">
                  <c:v>0.6710019619118871</c:v>
                </c:pt>
                <c:pt idx="1885">
                  <c:v>0.65745093846858194</c:v>
                </c:pt>
                <c:pt idx="1886">
                  <c:v>0.62467515557584818</c:v>
                </c:pt>
                <c:pt idx="1887">
                  <c:v>0.62655848653386914</c:v>
                </c:pt>
                <c:pt idx="1888">
                  <c:v>0.63162303069137904</c:v>
                </c:pt>
                <c:pt idx="1889">
                  <c:v>0.63673325857618412</c:v>
                </c:pt>
                <c:pt idx="1890">
                  <c:v>0.6012377454310025</c:v>
                </c:pt>
                <c:pt idx="1891">
                  <c:v>0.67072220209514732</c:v>
                </c:pt>
                <c:pt idx="1892">
                  <c:v>0.61842101121884108</c:v>
                </c:pt>
                <c:pt idx="1893">
                  <c:v>0.62181935089640772</c:v>
                </c:pt>
                <c:pt idx="1894">
                  <c:v>0.61943155187661136</c:v>
                </c:pt>
                <c:pt idx="1895">
                  <c:v>0.62414704123361853</c:v>
                </c:pt>
                <c:pt idx="1896">
                  <c:v>0.62774651681436944</c:v>
                </c:pt>
                <c:pt idx="1897">
                  <c:v>0.62330450432921691</c:v>
                </c:pt>
                <c:pt idx="1898">
                  <c:v>0.60893766941008221</c:v>
                </c:pt>
                <c:pt idx="1899">
                  <c:v>0.61402522237245782</c:v>
                </c:pt>
                <c:pt idx="1900">
                  <c:v>0.61233237957196762</c:v>
                </c:pt>
                <c:pt idx="1901">
                  <c:v>0.60974750572184133</c:v>
                </c:pt>
                <c:pt idx="1902">
                  <c:v>0.57858752699549187</c:v>
                </c:pt>
                <c:pt idx="1903">
                  <c:v>0.58421437891097072</c:v>
                </c:pt>
                <c:pt idx="1904">
                  <c:v>0.57637371949003346</c:v>
                </c:pt>
                <c:pt idx="1905">
                  <c:v>0.60507091663684609</c:v>
                </c:pt>
                <c:pt idx="1906">
                  <c:v>0.58256160613520436</c:v>
                </c:pt>
                <c:pt idx="1907">
                  <c:v>0.57216838185895202</c:v>
                </c:pt>
                <c:pt idx="1908">
                  <c:v>0.55867653713449739</c:v>
                </c:pt>
                <c:pt idx="1909">
                  <c:v>0.58985246033414929</c:v>
                </c:pt>
                <c:pt idx="1910">
                  <c:v>0.62216374969297139</c:v>
                </c:pt>
                <c:pt idx="1911">
                  <c:v>0.63701925593008624</c:v>
                </c:pt>
                <c:pt idx="1912">
                  <c:v>0.63827505203110901</c:v>
                </c:pt>
                <c:pt idx="1913">
                  <c:v>0.60114407628708311</c:v>
                </c:pt>
                <c:pt idx="1914">
                  <c:v>0.56539913071559755</c:v>
                </c:pt>
                <c:pt idx="1915">
                  <c:v>0.56720863743094185</c:v>
                </c:pt>
                <c:pt idx="1916">
                  <c:v>0.56587106696781075</c:v>
                </c:pt>
                <c:pt idx="1917">
                  <c:v>0.55909674265331311</c:v>
                </c:pt>
                <c:pt idx="1918">
                  <c:v>0.54718474702591102</c:v>
                </c:pt>
                <c:pt idx="1919">
                  <c:v>0.5442708745437429</c:v>
                </c:pt>
                <c:pt idx="1920">
                  <c:v>0.53593104006785663</c:v>
                </c:pt>
                <c:pt idx="1921">
                  <c:v>0.54924880207955529</c:v>
                </c:pt>
                <c:pt idx="1922">
                  <c:v>0.54027077223235132</c:v>
                </c:pt>
                <c:pt idx="1923">
                  <c:v>0.55459054411923081</c:v>
                </c:pt>
                <c:pt idx="1924">
                  <c:v>0.5493656362801721</c:v>
                </c:pt>
                <c:pt idx="1925">
                  <c:v>0.56266940701783497</c:v>
                </c:pt>
                <c:pt idx="1926">
                  <c:v>0.56439084500233594</c:v>
                </c:pt>
                <c:pt idx="1927">
                  <c:v>0.54869141498409335</c:v>
                </c:pt>
                <c:pt idx="1928">
                  <c:v>0.54028253841293628</c:v>
                </c:pt>
                <c:pt idx="1929">
                  <c:v>0.54627744079279239</c:v>
                </c:pt>
                <c:pt idx="1930">
                  <c:v>0.52526747171365018</c:v>
                </c:pt>
                <c:pt idx="1931">
                  <c:v>0.54646320005928251</c:v>
                </c:pt>
                <c:pt idx="1932">
                  <c:v>0.55697079981113107</c:v>
                </c:pt>
                <c:pt idx="1933">
                  <c:v>0.56023132718215374</c:v>
                </c:pt>
                <c:pt idx="1934">
                  <c:v>0.55786279279585216</c:v>
                </c:pt>
                <c:pt idx="1935">
                  <c:v>0.54673361236289797</c:v>
                </c:pt>
                <c:pt idx="1936">
                  <c:v>0.57581584711059952</c:v>
                </c:pt>
                <c:pt idx="1937">
                  <c:v>0.40406087430663495</c:v>
                </c:pt>
                <c:pt idx="1938">
                  <c:v>0.68038147910354618</c:v>
                </c:pt>
                <c:pt idx="1939">
                  <c:v>0.63120088178493561</c:v>
                </c:pt>
                <c:pt idx="1940">
                  <c:v>0.6307823871680136</c:v>
                </c:pt>
                <c:pt idx="1941">
                  <c:v>0.63566536858458056</c:v>
                </c:pt>
                <c:pt idx="1942">
                  <c:v>0.6579693969181829</c:v>
                </c:pt>
                <c:pt idx="1943">
                  <c:v>0.6594529590695174</c:v>
                </c:pt>
                <c:pt idx="1944">
                  <c:v>0.65703365926805546</c:v>
                </c:pt>
                <c:pt idx="1945">
                  <c:v>0.65996903443402588</c:v>
                </c:pt>
                <c:pt idx="1946">
                  <c:v>0.65397138317337578</c:v>
                </c:pt>
                <c:pt idx="1947">
                  <c:v>0.63764640750494594</c:v>
                </c:pt>
                <c:pt idx="1948">
                  <c:v>0.63960331470716969</c:v>
                </c:pt>
                <c:pt idx="1949">
                  <c:v>0.63268460457558862</c:v>
                </c:pt>
                <c:pt idx="1950">
                  <c:v>0.64470912678225867</c:v>
                </c:pt>
                <c:pt idx="1951">
                  <c:v>0.62303746848785146</c:v>
                </c:pt>
                <c:pt idx="1952">
                  <c:v>0.62726485089535156</c:v>
                </c:pt>
                <c:pt idx="1953">
                  <c:v>0.60208583108091063</c:v>
                </c:pt>
                <c:pt idx="1954">
                  <c:v>0.62498351816400644</c:v>
                </c:pt>
                <c:pt idx="1955">
                  <c:v>0.60419050862385071</c:v>
                </c:pt>
                <c:pt idx="1956">
                  <c:v>0.60330993613578443</c:v>
                </c:pt>
                <c:pt idx="1957">
                  <c:v>0.58704835710324477</c:v>
                </c:pt>
                <c:pt idx="1958">
                  <c:v>0.61748209873221949</c:v>
                </c:pt>
                <c:pt idx="1959">
                  <c:v>0.64034417027313217</c:v>
                </c:pt>
                <c:pt idx="1960">
                  <c:v>0.67160655016386361</c:v>
                </c:pt>
                <c:pt idx="1961">
                  <c:v>0.64455369671775453</c:v>
                </c:pt>
                <c:pt idx="1962">
                  <c:v>0.60149678064000744</c:v>
                </c:pt>
                <c:pt idx="1963">
                  <c:v>0.56019940590888839</c:v>
                </c:pt>
                <c:pt idx="1964">
                  <c:v>0.59364565132611524</c:v>
                </c:pt>
                <c:pt idx="1965">
                  <c:v>0.56823400151143544</c:v>
                </c:pt>
                <c:pt idx="1966">
                  <c:v>0.55340443254786775</c:v>
                </c:pt>
                <c:pt idx="1967">
                  <c:v>0.56042005709778131</c:v>
                </c:pt>
                <c:pt idx="1968">
                  <c:v>0.54540015192744995</c:v>
                </c:pt>
                <c:pt idx="1969">
                  <c:v>0.54412896538880395</c:v>
                </c:pt>
                <c:pt idx="1970">
                  <c:v>0.5651717760239382</c:v>
                </c:pt>
                <c:pt idx="1971">
                  <c:v>0.55605379597785687</c:v>
                </c:pt>
                <c:pt idx="1972">
                  <c:v>0.57084333972770052</c:v>
                </c:pt>
                <c:pt idx="1973">
                  <c:v>0.56305845130526599</c:v>
                </c:pt>
                <c:pt idx="1974">
                  <c:v>0.59019258194970692</c:v>
                </c:pt>
                <c:pt idx="1975">
                  <c:v>0.59536227533517105</c:v>
                </c:pt>
                <c:pt idx="1976">
                  <c:v>0.59028975845913745</c:v>
                </c:pt>
                <c:pt idx="1977">
                  <c:v>0.57114341534718038</c:v>
                </c:pt>
                <c:pt idx="1978">
                  <c:v>0.58629264956792893</c:v>
                </c:pt>
                <c:pt idx="1979">
                  <c:v>0.57018718641996979</c:v>
                </c:pt>
                <c:pt idx="1980">
                  <c:v>0.59501580728269221</c:v>
                </c:pt>
                <c:pt idx="1981">
                  <c:v>0.61233386406862889</c:v>
                </c:pt>
                <c:pt idx="1982">
                  <c:v>0.60296336081840518</c:v>
                </c:pt>
                <c:pt idx="1983">
                  <c:v>0.57966552104086166</c:v>
                </c:pt>
                <c:pt idx="1984">
                  <c:v>0.59865056919706128</c:v>
                </c:pt>
                <c:pt idx="1985">
                  <c:v>0.58041845947299819</c:v>
                </c:pt>
                <c:pt idx="1986">
                  <c:v>0.54484102065195483</c:v>
                </c:pt>
                <c:pt idx="1987">
                  <c:v>0.53831214844119102</c:v>
                </c:pt>
                <c:pt idx="1988">
                  <c:v>0.56645670208243959</c:v>
                </c:pt>
                <c:pt idx="1989">
                  <c:v>0.56300868163453099</c:v>
                </c:pt>
                <c:pt idx="1990">
                  <c:v>0.56957427097808611</c:v>
                </c:pt>
                <c:pt idx="1991">
                  <c:v>0.58760052571435495</c:v>
                </c:pt>
                <c:pt idx="1992">
                  <c:v>0.57822236229353319</c:v>
                </c:pt>
                <c:pt idx="1993">
                  <c:v>0.59640937387641846</c:v>
                </c:pt>
                <c:pt idx="1994">
                  <c:v>0.58524894521804793</c:v>
                </c:pt>
                <c:pt idx="1995">
                  <c:v>0.57855532229930495</c:v>
                </c:pt>
                <c:pt idx="1996">
                  <c:v>0.57695468905181035</c:v>
                </c:pt>
                <c:pt idx="1997">
                  <c:v>0.56117630491554882</c:v>
                </c:pt>
                <c:pt idx="1998">
                  <c:v>0.57568572753982694</c:v>
                </c:pt>
                <c:pt idx="1999">
                  <c:v>0.55558363132006727</c:v>
                </c:pt>
                <c:pt idx="2000">
                  <c:v>0.57077963590913661</c:v>
                </c:pt>
                <c:pt idx="2001">
                  <c:v>0.60769966047461799</c:v>
                </c:pt>
                <c:pt idx="2002">
                  <c:v>0.63720804724479896</c:v>
                </c:pt>
                <c:pt idx="2003">
                  <c:v>0.62875552419969982</c:v>
                </c:pt>
                <c:pt idx="2004">
                  <c:v>0.63201994300798525</c:v>
                </c:pt>
                <c:pt idx="2005">
                  <c:v>0.63546022189333662</c:v>
                </c:pt>
                <c:pt idx="2006">
                  <c:v>0.63160142581993617</c:v>
                </c:pt>
                <c:pt idx="2007">
                  <c:v>0.62227206321902961</c:v>
                </c:pt>
                <c:pt idx="2008">
                  <c:v>0.61762625999034981</c:v>
                </c:pt>
                <c:pt idx="2009">
                  <c:v>0.61816434649414609</c:v>
                </c:pt>
                <c:pt idx="2010">
                  <c:v>0.6240168992487829</c:v>
                </c:pt>
                <c:pt idx="2011">
                  <c:v>0.63462828970731699</c:v>
                </c:pt>
                <c:pt idx="2012">
                  <c:v>0.62351764282395838</c:v>
                </c:pt>
                <c:pt idx="2013">
                  <c:v>0.63726561977578045</c:v>
                </c:pt>
                <c:pt idx="2014">
                  <c:v>0.64572057238534419</c:v>
                </c:pt>
                <c:pt idx="2015">
                  <c:v>0.61162921837551343</c:v>
                </c:pt>
                <c:pt idx="2016">
                  <c:v>0.5926304746689437</c:v>
                </c:pt>
                <c:pt idx="2017">
                  <c:v>0.57693651315714733</c:v>
                </c:pt>
                <c:pt idx="2018">
                  <c:v>0.59524472117141114</c:v>
                </c:pt>
                <c:pt idx="2019">
                  <c:v>0.59866709271162677</c:v>
                </c:pt>
                <c:pt idx="2020">
                  <c:v>0.57093246272172427</c:v>
                </c:pt>
                <c:pt idx="2021">
                  <c:v>0.58498816314672819</c:v>
                </c:pt>
                <c:pt idx="2022">
                  <c:v>0.57205089317306379</c:v>
                </c:pt>
                <c:pt idx="2023">
                  <c:v>0.60900734159032444</c:v>
                </c:pt>
                <c:pt idx="2024">
                  <c:v>0.58270693771918713</c:v>
                </c:pt>
                <c:pt idx="2025">
                  <c:v>0.58618984466183754</c:v>
                </c:pt>
                <c:pt idx="2026">
                  <c:v>0.59630376535223517</c:v>
                </c:pt>
                <c:pt idx="2027">
                  <c:v>0.58946490839668908</c:v>
                </c:pt>
                <c:pt idx="2028">
                  <c:v>0.58483421694618021</c:v>
                </c:pt>
                <c:pt idx="2029">
                  <c:v>0.61716248941466489</c:v>
                </c:pt>
                <c:pt idx="2030">
                  <c:v>0.57782623863376281</c:v>
                </c:pt>
                <c:pt idx="2031">
                  <c:v>0.5892192835670782</c:v>
                </c:pt>
                <c:pt idx="2032">
                  <c:v>0.62306229671273305</c:v>
                </c:pt>
                <c:pt idx="2033">
                  <c:v>0.61211452770187702</c:v>
                </c:pt>
                <c:pt idx="2034">
                  <c:v>0.58208905601370298</c:v>
                </c:pt>
                <c:pt idx="2035">
                  <c:v>0.57063165764927459</c:v>
                </c:pt>
                <c:pt idx="2036">
                  <c:v>0.59782468726803384</c:v>
                </c:pt>
                <c:pt idx="2037">
                  <c:v>0.59832412827833192</c:v>
                </c:pt>
                <c:pt idx="2038">
                  <c:v>0.59904575751180966</c:v>
                </c:pt>
                <c:pt idx="2039">
                  <c:v>0.61609892710157821</c:v>
                </c:pt>
                <c:pt idx="2040">
                  <c:v>0.60588540582649197</c:v>
                </c:pt>
                <c:pt idx="2041">
                  <c:v>0.62026080558941199</c:v>
                </c:pt>
                <c:pt idx="2042">
                  <c:v>0.60906621228125268</c:v>
                </c:pt>
                <c:pt idx="2043">
                  <c:v>0.59224372910459733</c:v>
                </c:pt>
                <c:pt idx="2044">
                  <c:v>0.59903624571504477</c:v>
                </c:pt>
                <c:pt idx="2045">
                  <c:v>0.59131865066039069</c:v>
                </c:pt>
                <c:pt idx="2046">
                  <c:v>0.60405143592455079</c:v>
                </c:pt>
                <c:pt idx="2047">
                  <c:v>0.57162371106366883</c:v>
                </c:pt>
                <c:pt idx="2048">
                  <c:v>0.5830064171613325</c:v>
                </c:pt>
                <c:pt idx="2049">
                  <c:v>0.61769947474631703</c:v>
                </c:pt>
                <c:pt idx="2050">
                  <c:v>0.63946786201863737</c:v>
                </c:pt>
                <c:pt idx="2051">
                  <c:v>0.63542664137879623</c:v>
                </c:pt>
                <c:pt idx="2052">
                  <c:v>0.63701204317545701</c:v>
                </c:pt>
                <c:pt idx="2053">
                  <c:v>0.63463050574731261</c:v>
                </c:pt>
                <c:pt idx="2054">
                  <c:v>0.63173053191167461</c:v>
                </c:pt>
                <c:pt idx="2055">
                  <c:v>0.62470627994347816</c:v>
                </c:pt>
                <c:pt idx="2056">
                  <c:v>0.61649168803725019</c:v>
                </c:pt>
                <c:pt idx="2057">
                  <c:v>0.61903194043335297</c:v>
                </c:pt>
                <c:pt idx="2058">
                  <c:v>0.62546010656466888</c:v>
                </c:pt>
                <c:pt idx="2059">
                  <c:v>0.63588287300447688</c:v>
                </c:pt>
                <c:pt idx="2060">
                  <c:v>0.63216786858063412</c:v>
                </c:pt>
                <c:pt idx="2061">
                  <c:v>0.6435919245043098</c:v>
                </c:pt>
                <c:pt idx="2062">
                  <c:v>0.64703206712680705</c:v>
                </c:pt>
                <c:pt idx="2063">
                  <c:v>0.61189646035541689</c:v>
                </c:pt>
                <c:pt idx="2064">
                  <c:v>0.59340160500368133</c:v>
                </c:pt>
                <c:pt idx="2065">
                  <c:v>0.57895902627010731</c:v>
                </c:pt>
                <c:pt idx="2066">
                  <c:v>0.5978716096371578</c:v>
                </c:pt>
                <c:pt idx="2067">
                  <c:v>0.5965998443170144</c:v>
                </c:pt>
                <c:pt idx="2068">
                  <c:v>0.57323711500912233</c:v>
                </c:pt>
                <c:pt idx="2069">
                  <c:v>0.58569462151661122</c:v>
                </c:pt>
                <c:pt idx="2070">
                  <c:v>0.58861631584562724</c:v>
                </c:pt>
                <c:pt idx="2071">
                  <c:v>0.62342927849889429</c:v>
                </c:pt>
                <c:pt idx="2072">
                  <c:v>0.60309368392219809</c:v>
                </c:pt>
                <c:pt idx="2073">
                  <c:v>0.60746349455527437</c:v>
                </c:pt>
                <c:pt idx="2074">
                  <c:v>0.62682849457536272</c:v>
                </c:pt>
                <c:pt idx="2075">
                  <c:v>0.62043953846034794</c:v>
                </c:pt>
                <c:pt idx="2076">
                  <c:v>0.60379370413696287</c:v>
                </c:pt>
                <c:pt idx="2077">
                  <c:v>0.6432142425977645</c:v>
                </c:pt>
                <c:pt idx="2078">
                  <c:v>0.5931965399511826</c:v>
                </c:pt>
                <c:pt idx="2079">
                  <c:v>0.61393987048588994</c:v>
                </c:pt>
                <c:pt idx="2080">
                  <c:v>0.64501627959576102</c:v>
                </c:pt>
                <c:pt idx="2081">
                  <c:v>0.60229412150565165</c:v>
                </c:pt>
                <c:pt idx="2082">
                  <c:v>0.59766776747909367</c:v>
                </c:pt>
                <c:pt idx="2083">
                  <c:v>0.62337408042944331</c:v>
                </c:pt>
                <c:pt idx="2084">
                  <c:v>0.64020745683851255</c:v>
                </c:pt>
                <c:pt idx="2085">
                  <c:v>0.65358092871701468</c:v>
                </c:pt>
                <c:pt idx="2086">
                  <c:v>0.6497489937095231</c:v>
                </c:pt>
                <c:pt idx="2087">
                  <c:v>0.64350370309005678</c:v>
                </c:pt>
                <c:pt idx="2088">
                  <c:v>0.63887934771590293</c:v>
                </c:pt>
                <c:pt idx="2089">
                  <c:v>0.63362174457587139</c:v>
                </c:pt>
                <c:pt idx="2090">
                  <c:v>0.63804724978471317</c:v>
                </c:pt>
                <c:pt idx="2091">
                  <c:v>0.63091600390656977</c:v>
                </c:pt>
                <c:pt idx="2092">
                  <c:v>0.62020343308731507</c:v>
                </c:pt>
                <c:pt idx="2093">
                  <c:v>0.61159406227765878</c:v>
                </c:pt>
                <c:pt idx="2094">
                  <c:v>0.57726080404887281</c:v>
                </c:pt>
                <c:pt idx="2095">
                  <c:v>0.57325602648159557</c:v>
                </c:pt>
                <c:pt idx="2096">
                  <c:v>0.58441796150425873</c:v>
                </c:pt>
                <c:pt idx="2097">
                  <c:v>0.59797376884893438</c:v>
                </c:pt>
                <c:pt idx="2098">
                  <c:v>0.62543963328034591</c:v>
                </c:pt>
                <c:pt idx="2099">
                  <c:v>0.62486403175087968</c:v>
                </c:pt>
                <c:pt idx="2100">
                  <c:v>0.63069233779984779</c:v>
                </c:pt>
                <c:pt idx="2101">
                  <c:v>0.62216457899004718</c:v>
                </c:pt>
                <c:pt idx="2102">
                  <c:v>0.61749917847307734</c:v>
                </c:pt>
                <c:pt idx="2103">
                  <c:v>0.60727065020375326</c:v>
                </c:pt>
                <c:pt idx="2104">
                  <c:v>0.60063000514145515</c:v>
                </c:pt>
                <c:pt idx="2105">
                  <c:v>0.61228487299939249</c:v>
                </c:pt>
                <c:pt idx="2106">
                  <c:v>0.61971540844245476</c:v>
                </c:pt>
                <c:pt idx="2107">
                  <c:v>0.63590366333475001</c:v>
                </c:pt>
                <c:pt idx="2108">
                  <c:v>0.61988905136053618</c:v>
                </c:pt>
                <c:pt idx="2109">
                  <c:v>0.63038210387384197</c:v>
                </c:pt>
                <c:pt idx="2110">
                  <c:v>0.60590090304115973</c:v>
                </c:pt>
                <c:pt idx="2111">
                  <c:v>0.60198561202902723</c:v>
                </c:pt>
                <c:pt idx="2112">
                  <c:v>0.56912332785236586</c:v>
                </c:pt>
                <c:pt idx="2113">
                  <c:v>0.54717871033885235</c:v>
                </c:pt>
                <c:pt idx="2114">
                  <c:v>0.55017109581114476</c:v>
                </c:pt>
                <c:pt idx="2115">
                  <c:v>0.56309978311655828</c:v>
                </c:pt>
                <c:pt idx="2116">
                  <c:v>0.57479657268321915</c:v>
                </c:pt>
                <c:pt idx="2117">
                  <c:v>0.57313210074787047</c:v>
                </c:pt>
                <c:pt idx="2118">
                  <c:v>0.55398261180909625</c:v>
                </c:pt>
                <c:pt idx="2119">
                  <c:v>0.57828498376676396</c:v>
                </c:pt>
                <c:pt idx="2120">
                  <c:v>0.57985913442944559</c:v>
                </c:pt>
                <c:pt idx="2121">
                  <c:v>0.56943664951488737</c:v>
                </c:pt>
                <c:pt idx="2122">
                  <c:v>0.55926164375206056</c:v>
                </c:pt>
                <c:pt idx="2123">
                  <c:v>0.58174377742300987</c:v>
                </c:pt>
                <c:pt idx="2124">
                  <c:v>0.56554075363749379</c:v>
                </c:pt>
                <c:pt idx="2125">
                  <c:v>0.57431618723834299</c:v>
                </c:pt>
                <c:pt idx="2126">
                  <c:v>0.56647956427656121</c:v>
                </c:pt>
                <c:pt idx="2127">
                  <c:v>0.56778330872492866</c:v>
                </c:pt>
                <c:pt idx="2128">
                  <c:v>0.4729484030702033</c:v>
                </c:pt>
                <c:pt idx="2129">
                  <c:v>0.66738392727107898</c:v>
                </c:pt>
                <c:pt idx="2130">
                  <c:v>0.62327679484412268</c:v>
                </c:pt>
                <c:pt idx="2131">
                  <c:v>0.62774344665737281</c:v>
                </c:pt>
                <c:pt idx="2132">
                  <c:v>0.64657574335188994</c:v>
                </c:pt>
                <c:pt idx="2133">
                  <c:v>0.66548586729567716</c:v>
                </c:pt>
                <c:pt idx="2134">
                  <c:v>0.67398018174576368</c:v>
                </c:pt>
                <c:pt idx="2135">
                  <c:v>0.67371467063729329</c:v>
                </c:pt>
                <c:pt idx="2136">
                  <c:v>0.6609166800117201</c:v>
                </c:pt>
                <c:pt idx="2137">
                  <c:v>0.65866111130203764</c:v>
                </c:pt>
                <c:pt idx="2138">
                  <c:v>0.64845095931277208</c:v>
                </c:pt>
                <c:pt idx="2139">
                  <c:v>0.66652855699429658</c:v>
                </c:pt>
                <c:pt idx="2140">
                  <c:v>0.64062223686276132</c:v>
                </c:pt>
                <c:pt idx="2141">
                  <c:v>0.64530178996174059</c:v>
                </c:pt>
                <c:pt idx="2142">
                  <c:v>0.62112994070489858</c:v>
                </c:pt>
                <c:pt idx="2143">
                  <c:v>0.59072739681356978</c:v>
                </c:pt>
                <c:pt idx="2144">
                  <c:v>0.58227931955406709</c:v>
                </c:pt>
                <c:pt idx="2145">
                  <c:v>0.59117071781663288</c:v>
                </c:pt>
                <c:pt idx="2146">
                  <c:v>0.60288924445367076</c:v>
                </c:pt>
                <c:pt idx="2147">
                  <c:v>0.63138714468620183</c:v>
                </c:pt>
                <c:pt idx="2148">
                  <c:v>0.62835745533323117</c:v>
                </c:pt>
                <c:pt idx="2149">
                  <c:v>0.63510085606670852</c:v>
                </c:pt>
                <c:pt idx="2150">
                  <c:v>0.61960718524354774</c:v>
                </c:pt>
                <c:pt idx="2151">
                  <c:v>0.62309157150436767</c:v>
                </c:pt>
                <c:pt idx="2152">
                  <c:v>0.60454020874704095</c:v>
                </c:pt>
                <c:pt idx="2153">
                  <c:v>0.60272991646887486</c:v>
                </c:pt>
                <c:pt idx="2154">
                  <c:v>0.61196120223663197</c:v>
                </c:pt>
                <c:pt idx="2155">
                  <c:v>0.62496570029321896</c:v>
                </c:pt>
                <c:pt idx="2156">
                  <c:v>0.63676513445996108</c:v>
                </c:pt>
                <c:pt idx="2157">
                  <c:v>0.62189777463525919</c:v>
                </c:pt>
                <c:pt idx="2158">
                  <c:v>0.63135192834366494</c:v>
                </c:pt>
                <c:pt idx="2159">
                  <c:v>0.60751206753341314</c:v>
                </c:pt>
                <c:pt idx="2160">
                  <c:v>0.60271755797845095</c:v>
                </c:pt>
                <c:pt idx="2161">
                  <c:v>0.57136207285640539</c:v>
                </c:pt>
                <c:pt idx="2162">
                  <c:v>0.55042771574166982</c:v>
                </c:pt>
                <c:pt idx="2163">
                  <c:v>0.55732045122287965</c:v>
                </c:pt>
                <c:pt idx="2164">
                  <c:v>0.56626880939888102</c:v>
                </c:pt>
                <c:pt idx="2165">
                  <c:v>0.59520093348587111</c:v>
                </c:pt>
                <c:pt idx="2166">
                  <c:v>0.5916987705247706</c:v>
                </c:pt>
                <c:pt idx="2167">
                  <c:v>0.58321351478441907</c:v>
                </c:pt>
                <c:pt idx="2168">
                  <c:v>0.60249157410154353</c:v>
                </c:pt>
                <c:pt idx="2169">
                  <c:v>0.60053032119086525</c:v>
                </c:pt>
                <c:pt idx="2170">
                  <c:v>0.60384485184456871</c:v>
                </c:pt>
                <c:pt idx="2171">
                  <c:v>0.58205801946505409</c:v>
                </c:pt>
                <c:pt idx="2172">
                  <c:v>0.6102984197414979</c:v>
                </c:pt>
                <c:pt idx="2173">
                  <c:v>0.59818272576636344</c:v>
                </c:pt>
                <c:pt idx="2174">
                  <c:v>0.61267346833804603</c:v>
                </c:pt>
                <c:pt idx="2175">
                  <c:v>0.60808616796215764</c:v>
                </c:pt>
                <c:pt idx="2176">
                  <c:v>0.59897665558096691</c:v>
                </c:pt>
                <c:pt idx="2177">
                  <c:v>0.59042271335343999</c:v>
                </c:pt>
                <c:pt idx="2178">
                  <c:v>0.55134202089469497</c:v>
                </c:pt>
                <c:pt idx="2179">
                  <c:v>0.60619825634061608</c:v>
                </c:pt>
                <c:pt idx="2180">
                  <c:v>0.65667371609186675</c:v>
                </c:pt>
                <c:pt idx="2181">
                  <c:v>0.61566730017296634</c:v>
                </c:pt>
                <c:pt idx="2182">
                  <c:v>0.62411123285565506</c:v>
                </c:pt>
                <c:pt idx="2183">
                  <c:v>0.61080873451139894</c:v>
                </c:pt>
                <c:pt idx="2184">
                  <c:v>0.63729475357437226</c:v>
                </c:pt>
                <c:pt idx="2185">
                  <c:v>0.57627752611489613</c:v>
                </c:pt>
                <c:pt idx="2186">
                  <c:v>0.61964503515135461</c:v>
                </c:pt>
                <c:pt idx="2187">
                  <c:v>0.59874083901259156</c:v>
                </c:pt>
                <c:pt idx="2188">
                  <c:v>0.58710207722526675</c:v>
                </c:pt>
                <c:pt idx="2189">
                  <c:v>0.55437175742722888</c:v>
                </c:pt>
                <c:pt idx="2190">
                  <c:v>0.55589020791790156</c:v>
                </c:pt>
                <c:pt idx="2191">
                  <c:v>0.55278303958463737</c:v>
                </c:pt>
                <c:pt idx="2192">
                  <c:v>0.62186437366300051</c:v>
                </c:pt>
                <c:pt idx="2193">
                  <c:v>0.62480108215241725</c:v>
                </c:pt>
                <c:pt idx="2194">
                  <c:v>0.63336986964328545</c:v>
                </c:pt>
                <c:pt idx="2195">
                  <c:v>0.62702658518553334</c:v>
                </c:pt>
                <c:pt idx="2196">
                  <c:v>0.62993420754281337</c:v>
                </c:pt>
                <c:pt idx="2197">
                  <c:v>0.61263585360332873</c:v>
                </c:pt>
                <c:pt idx="2198">
                  <c:v>0.62696794665562339</c:v>
                </c:pt>
                <c:pt idx="2199">
                  <c:v>0.60507857203733717</c:v>
                </c:pt>
                <c:pt idx="2200">
                  <c:v>0.60562079166405325</c:v>
                </c:pt>
                <c:pt idx="2201">
                  <c:v>0.63232576911700011</c:v>
                </c:pt>
                <c:pt idx="2202">
                  <c:v>0.63157089315953485</c:v>
                </c:pt>
                <c:pt idx="2203">
                  <c:v>0.61877156210646433</c:v>
                </c:pt>
                <c:pt idx="2204">
                  <c:v>0.63419765977696907</c:v>
                </c:pt>
                <c:pt idx="2205">
                  <c:v>0.63939374354901701</c:v>
                </c:pt>
                <c:pt idx="2206">
                  <c:v>0.61050951767819284</c:v>
                </c:pt>
                <c:pt idx="2207">
                  <c:v>0.57250438687349869</c:v>
                </c:pt>
                <c:pt idx="2208">
                  <c:v>0.58027247408550586</c:v>
                </c:pt>
                <c:pt idx="2209">
                  <c:v>0.55616700388155538</c:v>
                </c:pt>
                <c:pt idx="2210">
                  <c:v>0.57759450178454286</c:v>
                </c:pt>
                <c:pt idx="2211">
                  <c:v>0.57117489202737937</c:v>
                </c:pt>
                <c:pt idx="2212">
                  <c:v>0.57068873094815298</c:v>
                </c:pt>
                <c:pt idx="2213">
                  <c:v>0.58393259891286897</c:v>
                </c:pt>
                <c:pt idx="2214">
                  <c:v>0.56391113245581337</c:v>
                </c:pt>
                <c:pt idx="2215">
                  <c:v>0.5654044468387881</c:v>
                </c:pt>
                <c:pt idx="2216">
                  <c:v>0.5696747679450308</c:v>
                </c:pt>
                <c:pt idx="2217">
                  <c:v>0.59211632961200655</c:v>
                </c:pt>
                <c:pt idx="2218">
                  <c:v>0.57843427546688608</c:v>
                </c:pt>
                <c:pt idx="2219">
                  <c:v>0.57050592987734583</c:v>
                </c:pt>
                <c:pt idx="2220">
                  <c:v>0.58239782274567886</c:v>
                </c:pt>
                <c:pt idx="2221">
                  <c:v>0.56382684073408473</c:v>
                </c:pt>
                <c:pt idx="2222">
                  <c:v>0.59027737552043558</c:v>
                </c:pt>
                <c:pt idx="2223">
                  <c:v>0.5939019515931061</c:v>
                </c:pt>
                <c:pt idx="2224">
                  <c:v>0.38516800488893616</c:v>
                </c:pt>
                <c:pt idx="2225">
                  <c:v>0.63155303918081029</c:v>
                </c:pt>
                <c:pt idx="2226">
                  <c:v>0.62318786440594798</c:v>
                </c:pt>
                <c:pt idx="2227">
                  <c:v>0.59235665799721116</c:v>
                </c:pt>
                <c:pt idx="2228">
                  <c:v>0.63888742724301617</c:v>
                </c:pt>
                <c:pt idx="2229">
                  <c:v>0.66784793450199476</c:v>
                </c:pt>
                <c:pt idx="2230">
                  <c:v>0.66768012754384587</c:v>
                </c:pt>
                <c:pt idx="2231">
                  <c:v>0.66151662099762198</c:v>
                </c:pt>
                <c:pt idx="2232">
                  <c:v>0.64897831827222108</c:v>
                </c:pt>
                <c:pt idx="2233">
                  <c:v>0.64974471325256578</c:v>
                </c:pt>
                <c:pt idx="2234">
                  <c:v>0.61296696327454459</c:v>
                </c:pt>
                <c:pt idx="2235">
                  <c:v>0.62242521078757695</c:v>
                </c:pt>
                <c:pt idx="2236">
                  <c:v>0.64092782519448621</c:v>
                </c:pt>
                <c:pt idx="2237">
                  <c:v>0.6182556712553583</c:v>
                </c:pt>
                <c:pt idx="2238">
                  <c:v>0.58703082357491954</c:v>
                </c:pt>
                <c:pt idx="2239">
                  <c:v>0.57493239079688574</c:v>
                </c:pt>
                <c:pt idx="2240">
                  <c:v>0.58107826255194472</c:v>
                </c:pt>
                <c:pt idx="2241">
                  <c:v>0.62001699822631018</c:v>
                </c:pt>
                <c:pt idx="2242">
                  <c:v>0.63740466350701519</c:v>
                </c:pt>
                <c:pt idx="2243">
                  <c:v>0.63954734599728935</c:v>
                </c:pt>
                <c:pt idx="2244">
                  <c:v>0.63657815603425771</c:v>
                </c:pt>
                <c:pt idx="2245">
                  <c:v>0.63599675565076597</c:v>
                </c:pt>
                <c:pt idx="2246">
                  <c:v>0.61729983807930844</c:v>
                </c:pt>
                <c:pt idx="2247">
                  <c:v>0.63269674614653715</c:v>
                </c:pt>
                <c:pt idx="2248">
                  <c:v>0.61072711166202021</c:v>
                </c:pt>
                <c:pt idx="2249">
                  <c:v>0.61042805157158575</c:v>
                </c:pt>
                <c:pt idx="2250">
                  <c:v>0.63591802515558304</c:v>
                </c:pt>
                <c:pt idx="2251">
                  <c:v>0.63377911749224836</c:v>
                </c:pt>
                <c:pt idx="2252">
                  <c:v>0.62933884207835389</c:v>
                </c:pt>
                <c:pt idx="2253">
                  <c:v>0.63976848988855994</c:v>
                </c:pt>
                <c:pt idx="2254">
                  <c:v>0.65000409112186375</c:v>
                </c:pt>
                <c:pt idx="2255">
                  <c:v>0.62365526932802506</c:v>
                </c:pt>
                <c:pt idx="2256">
                  <c:v>0.57581849985235734</c:v>
                </c:pt>
                <c:pt idx="2257">
                  <c:v>0.58577883239268369</c:v>
                </c:pt>
                <c:pt idx="2258">
                  <c:v>0.56069744516097053</c:v>
                </c:pt>
                <c:pt idx="2259">
                  <c:v>0.57996356295767659</c:v>
                </c:pt>
                <c:pt idx="2260">
                  <c:v>0.57615641888978009</c:v>
                </c:pt>
                <c:pt idx="2261">
                  <c:v>0.58203619023413189</c:v>
                </c:pt>
                <c:pt idx="2262">
                  <c:v>0.61341577190207086</c:v>
                </c:pt>
                <c:pt idx="2263">
                  <c:v>0.5988112911402087</c:v>
                </c:pt>
                <c:pt idx="2264">
                  <c:v>0.5931220677346597</c:v>
                </c:pt>
                <c:pt idx="2265">
                  <c:v>0.59830770122543664</c:v>
                </c:pt>
                <c:pt idx="2266">
                  <c:v>0.62057429416571419</c:v>
                </c:pt>
                <c:pt idx="2267">
                  <c:v>0.61677274895265921</c:v>
                </c:pt>
                <c:pt idx="2268">
                  <c:v>0.60832563425379393</c:v>
                </c:pt>
                <c:pt idx="2269">
                  <c:v>0.60557179128763694</c:v>
                </c:pt>
                <c:pt idx="2270">
                  <c:v>0.60079957869810441</c:v>
                </c:pt>
                <c:pt idx="2271">
                  <c:v>0.61514581008510039</c:v>
                </c:pt>
                <c:pt idx="2272">
                  <c:v>0.60591650731662294</c:v>
                </c:pt>
                <c:pt idx="2273">
                  <c:v>0.57240465888135916</c:v>
                </c:pt>
                <c:pt idx="2274">
                  <c:v>0.58178575775895724</c:v>
                </c:pt>
                <c:pt idx="2275">
                  <c:v>0.60796440379890737</c:v>
                </c:pt>
                <c:pt idx="2276">
                  <c:v>0.60956111559568038</c:v>
                </c:pt>
                <c:pt idx="2277">
                  <c:v>0.59658884945041579</c:v>
                </c:pt>
                <c:pt idx="2278">
                  <c:v>0.62399357071115813</c:v>
                </c:pt>
                <c:pt idx="2279">
                  <c:v>0.60872110137189372</c:v>
                </c:pt>
                <c:pt idx="2280">
                  <c:v>0.61293043285094939</c:v>
                </c:pt>
                <c:pt idx="2281">
                  <c:v>0.59456700667641826</c:v>
                </c:pt>
                <c:pt idx="2282">
                  <c:v>0.58318958905347273</c:v>
                </c:pt>
                <c:pt idx="2283">
                  <c:v>0.55771948512889247</c:v>
                </c:pt>
                <c:pt idx="2284">
                  <c:v>0.57662360747537633</c:v>
                </c:pt>
                <c:pt idx="2285">
                  <c:v>0.56409388615334588</c:v>
                </c:pt>
                <c:pt idx="2286">
                  <c:v>0.54863849781230922</c:v>
                </c:pt>
                <c:pt idx="2287">
                  <c:v>0.55926188338832639</c:v>
                </c:pt>
                <c:pt idx="2288">
                  <c:v>0.59460666112597604</c:v>
                </c:pt>
                <c:pt idx="2289">
                  <c:v>0.61237489778906151</c:v>
                </c:pt>
                <c:pt idx="2290">
                  <c:v>0.62555628721835266</c:v>
                </c:pt>
                <c:pt idx="2291">
                  <c:v>0.62833016858645352</c:v>
                </c:pt>
                <c:pt idx="2292">
                  <c:v>0.61649410360515999</c:v>
                </c:pt>
                <c:pt idx="2293">
                  <c:v>0.60948331379934884</c:v>
                </c:pt>
                <c:pt idx="2294">
                  <c:v>0.62352415316834664</c:v>
                </c:pt>
                <c:pt idx="2295">
                  <c:v>0.59425494673859292</c:v>
                </c:pt>
                <c:pt idx="2296">
                  <c:v>0.61127742297301357</c:v>
                </c:pt>
                <c:pt idx="2297">
                  <c:v>0.61667995701951905</c:v>
                </c:pt>
                <c:pt idx="2298">
                  <c:v>0.6375427622364791</c:v>
                </c:pt>
                <c:pt idx="2299">
                  <c:v>0.62693893200753947</c:v>
                </c:pt>
                <c:pt idx="2300">
                  <c:v>0.61989603314715835</c:v>
                </c:pt>
                <c:pt idx="2301">
                  <c:v>0.6259674121833515</c:v>
                </c:pt>
                <c:pt idx="2302">
                  <c:v>0.58719882411481827</c:v>
                </c:pt>
                <c:pt idx="2303">
                  <c:v>0.58000879990764409</c:v>
                </c:pt>
                <c:pt idx="2304">
                  <c:v>0.55677791355529715</c:v>
                </c:pt>
                <c:pt idx="2305">
                  <c:v>0.56505166958378572</c:v>
                </c:pt>
                <c:pt idx="2306">
                  <c:v>0.55294926088403362</c:v>
                </c:pt>
                <c:pt idx="2307">
                  <c:v>0.56385861506230206</c:v>
                </c:pt>
                <c:pt idx="2308">
                  <c:v>0.55712458960385114</c:v>
                </c:pt>
                <c:pt idx="2309">
                  <c:v>0.54979580061957989</c:v>
                </c:pt>
                <c:pt idx="2310">
                  <c:v>0.56486470558408652</c:v>
                </c:pt>
                <c:pt idx="2311">
                  <c:v>0.55353836580260773</c:v>
                </c:pt>
                <c:pt idx="2312">
                  <c:v>0.56872959911842913</c:v>
                </c:pt>
                <c:pt idx="2313">
                  <c:v>0.57955290212843458</c:v>
                </c:pt>
                <c:pt idx="2314">
                  <c:v>0.55102513317252111</c:v>
                </c:pt>
                <c:pt idx="2315">
                  <c:v>0.58091141088547338</c:v>
                </c:pt>
                <c:pt idx="2316">
                  <c:v>0.56286456686686703</c:v>
                </c:pt>
                <c:pt idx="2317">
                  <c:v>0.56464855011601944</c:v>
                </c:pt>
                <c:pt idx="2318">
                  <c:v>0.58395240870215992</c:v>
                </c:pt>
                <c:pt idx="2319">
                  <c:v>0.58901089107189375</c:v>
                </c:pt>
                <c:pt idx="2320">
                  <c:v>0.63354864115771126</c:v>
                </c:pt>
                <c:pt idx="2321">
                  <c:v>0.63842944998745166</c:v>
                </c:pt>
                <c:pt idx="2322">
                  <c:v>0.59456612297056111</c:v>
                </c:pt>
                <c:pt idx="2323">
                  <c:v>0.64741407387583749</c:v>
                </c:pt>
                <c:pt idx="2324">
                  <c:v>0.6450946563301051</c:v>
                </c:pt>
                <c:pt idx="2325">
                  <c:v>0.65030577429157543</c:v>
                </c:pt>
                <c:pt idx="2326">
                  <c:v>0.65453009274801688</c:v>
                </c:pt>
                <c:pt idx="2327">
                  <c:v>0.65730459217270509</c:v>
                </c:pt>
                <c:pt idx="2328">
                  <c:v>0.64433674975185695</c:v>
                </c:pt>
                <c:pt idx="2329">
                  <c:v>0.63345572955482765</c:v>
                </c:pt>
                <c:pt idx="2330">
                  <c:v>0.61433965424127213</c:v>
                </c:pt>
                <c:pt idx="2331">
                  <c:v>0.6071708695146244</c:v>
                </c:pt>
                <c:pt idx="2332">
                  <c:v>0.59621023636421611</c:v>
                </c:pt>
                <c:pt idx="2333">
                  <c:v>0.59857866817535987</c:v>
                </c:pt>
                <c:pt idx="2334">
                  <c:v>0.58376967157275728</c:v>
                </c:pt>
                <c:pt idx="2335">
                  <c:v>0.56772373719589875</c:v>
                </c:pt>
                <c:pt idx="2336">
                  <c:v>0.59609995631904478</c:v>
                </c:pt>
                <c:pt idx="2337">
                  <c:v>0.62446413125740752</c:v>
                </c:pt>
                <c:pt idx="2338">
                  <c:v>0.64141729155042015</c:v>
                </c:pt>
                <c:pt idx="2339">
                  <c:v>0.64794835852336485</c:v>
                </c:pt>
                <c:pt idx="2340">
                  <c:v>0.63083512750635251</c:v>
                </c:pt>
                <c:pt idx="2341">
                  <c:v>0.63054756920966271</c:v>
                </c:pt>
                <c:pt idx="2342">
                  <c:v>0.61961208610622331</c:v>
                </c:pt>
                <c:pt idx="2343">
                  <c:v>0.61723599208006008</c:v>
                </c:pt>
                <c:pt idx="2344">
                  <c:v>0.61253093895999211</c:v>
                </c:pt>
                <c:pt idx="2345">
                  <c:v>0.61558753265112665</c:v>
                </c:pt>
                <c:pt idx="2346">
                  <c:v>0.64018418641180186</c:v>
                </c:pt>
                <c:pt idx="2347">
                  <c:v>0.64796955604503048</c:v>
                </c:pt>
                <c:pt idx="2348">
                  <c:v>0.63012528912650878</c:v>
                </c:pt>
                <c:pt idx="2349">
                  <c:v>0.6325699511745474</c:v>
                </c:pt>
                <c:pt idx="2350">
                  <c:v>0.61746176982157597</c:v>
                </c:pt>
                <c:pt idx="2351">
                  <c:v>0.576473116126483</c:v>
                </c:pt>
                <c:pt idx="2352">
                  <c:v>0.57549197555852305</c:v>
                </c:pt>
                <c:pt idx="2353">
                  <c:v>0.57399687024259372</c:v>
                </c:pt>
                <c:pt idx="2354">
                  <c:v>0.5637835622566022</c:v>
                </c:pt>
                <c:pt idx="2355">
                  <c:v>0.56977956887863057</c:v>
                </c:pt>
                <c:pt idx="2356">
                  <c:v>0.57319186335812811</c:v>
                </c:pt>
                <c:pt idx="2357">
                  <c:v>0.58060318220197249</c:v>
                </c:pt>
                <c:pt idx="2358">
                  <c:v>0.58429921658952688</c:v>
                </c:pt>
                <c:pt idx="2359">
                  <c:v>0.58767673632719963</c:v>
                </c:pt>
                <c:pt idx="2360">
                  <c:v>0.58656693960847073</c:v>
                </c:pt>
                <c:pt idx="2361">
                  <c:v>0.60498745323414749</c:v>
                </c:pt>
                <c:pt idx="2362">
                  <c:v>0.59914468971162005</c:v>
                </c:pt>
                <c:pt idx="2363">
                  <c:v>0.62839414155282547</c:v>
                </c:pt>
                <c:pt idx="2364">
                  <c:v>0.61217138760861578</c:v>
                </c:pt>
                <c:pt idx="2365">
                  <c:v>0.61078723949931024</c:v>
                </c:pt>
                <c:pt idx="2366">
                  <c:v>0.61197308822192986</c:v>
                </c:pt>
                <c:pt idx="2367">
                  <c:v>0.64998863199098289</c:v>
                </c:pt>
                <c:pt idx="2368">
                  <c:v>0.6214591044671216</c:v>
                </c:pt>
                <c:pt idx="2369">
                  <c:v>0.56838338548911604</c:v>
                </c:pt>
                <c:pt idx="2370">
                  <c:v>0.55397484959611965</c:v>
                </c:pt>
                <c:pt idx="2371">
                  <c:v>0.59525177973017795</c:v>
                </c:pt>
                <c:pt idx="2372">
                  <c:v>0.61654703267712585</c:v>
                </c:pt>
                <c:pt idx="2373">
                  <c:v>0.60005610067814175</c:v>
                </c:pt>
                <c:pt idx="2374">
                  <c:v>0.59471080584905167</c:v>
                </c:pt>
                <c:pt idx="2375">
                  <c:v>0.58382991312459853</c:v>
                </c:pt>
                <c:pt idx="2376">
                  <c:v>0.58701688616281422</c:v>
                </c:pt>
                <c:pt idx="2377">
                  <c:v>0.56226502112319521</c:v>
                </c:pt>
                <c:pt idx="2378">
                  <c:v>0.57014009674252197</c:v>
                </c:pt>
                <c:pt idx="2379">
                  <c:v>0.5756118834946633</c:v>
                </c:pt>
                <c:pt idx="2380">
                  <c:v>0.56737589725579163</c:v>
                </c:pt>
                <c:pt idx="2381">
                  <c:v>0.5448397820153511</c:v>
                </c:pt>
                <c:pt idx="2382">
                  <c:v>0.53727040462034215</c:v>
                </c:pt>
                <c:pt idx="2383">
                  <c:v>0.54659065530177386</c:v>
                </c:pt>
                <c:pt idx="2384">
                  <c:v>0.6003799348932527</c:v>
                </c:pt>
                <c:pt idx="2385">
                  <c:v>0.62737865989698627</c:v>
                </c:pt>
                <c:pt idx="2386">
                  <c:v>0.62398489960781556</c:v>
                </c:pt>
                <c:pt idx="2387">
                  <c:v>0.62792802685408122</c:v>
                </c:pt>
                <c:pt idx="2388">
                  <c:v>0.62378882452356899</c:v>
                </c:pt>
                <c:pt idx="2389">
                  <c:v>0.62751291821813959</c:v>
                </c:pt>
                <c:pt idx="2390">
                  <c:v>0.63651307066182095</c:v>
                </c:pt>
                <c:pt idx="2391">
                  <c:v>0.61854667349880044</c:v>
                </c:pt>
                <c:pt idx="2392">
                  <c:v>0.61123713585119943</c:v>
                </c:pt>
                <c:pt idx="2393">
                  <c:v>0.61713962870301409</c:v>
                </c:pt>
                <c:pt idx="2394">
                  <c:v>0.63956288251896842</c:v>
                </c:pt>
                <c:pt idx="2395">
                  <c:v>0.62590534173640489</c:v>
                </c:pt>
                <c:pt idx="2396">
                  <c:v>0.63664222902211698</c:v>
                </c:pt>
                <c:pt idx="2397">
                  <c:v>0.6506335587904083</c:v>
                </c:pt>
                <c:pt idx="2398">
                  <c:v>0.61569234289002728</c:v>
                </c:pt>
                <c:pt idx="2399">
                  <c:v>0.55275093099329331</c:v>
                </c:pt>
                <c:pt idx="2400">
                  <c:v>0.54819108394291383</c:v>
                </c:pt>
                <c:pt idx="2401">
                  <c:v>0.60633126785777047</c:v>
                </c:pt>
                <c:pt idx="2402">
                  <c:v>0.61125797081879218</c:v>
                </c:pt>
                <c:pt idx="2403">
                  <c:v>0.62127310410508418</c:v>
                </c:pt>
                <c:pt idx="2404">
                  <c:v>0.61099267553388781</c:v>
                </c:pt>
                <c:pt idx="2405">
                  <c:v>0.62978735252524209</c:v>
                </c:pt>
                <c:pt idx="2406">
                  <c:v>0.6289302854583485</c:v>
                </c:pt>
                <c:pt idx="2407">
                  <c:v>0.57896898810998343</c:v>
                </c:pt>
                <c:pt idx="2408">
                  <c:v>0.56278316187864785</c:v>
                </c:pt>
                <c:pt idx="2409">
                  <c:v>0.58535840444322129</c:v>
                </c:pt>
                <c:pt idx="2410">
                  <c:v>0.57844115403190777</c:v>
                </c:pt>
                <c:pt idx="2411">
                  <c:v>0.56051301736645143</c:v>
                </c:pt>
                <c:pt idx="2412">
                  <c:v>0.55045620612360435</c:v>
                </c:pt>
                <c:pt idx="2413">
                  <c:v>0.57212569410178393</c:v>
                </c:pt>
                <c:pt idx="2414">
                  <c:v>0.56476450895440389</c:v>
                </c:pt>
                <c:pt idx="2415">
                  <c:v>0.58148065375249891</c:v>
                </c:pt>
                <c:pt idx="2416">
                  <c:v>0.5819813849338441</c:v>
                </c:pt>
                <c:pt idx="2417">
                  <c:v>0.63836474135506971</c:v>
                </c:pt>
                <c:pt idx="2418">
                  <c:v>0.64353932933068225</c:v>
                </c:pt>
                <c:pt idx="2419">
                  <c:v>0.64711223420618014</c:v>
                </c:pt>
                <c:pt idx="2420">
                  <c:v>0.64955146505019457</c:v>
                </c:pt>
                <c:pt idx="2421">
                  <c:v>0.65120617497399613</c:v>
                </c:pt>
                <c:pt idx="2422">
                  <c:v>0.65371561781436682</c:v>
                </c:pt>
                <c:pt idx="2423">
                  <c:v>0.64609451221964664</c:v>
                </c:pt>
                <c:pt idx="2424">
                  <c:v>0.63771792432353158</c:v>
                </c:pt>
                <c:pt idx="2425">
                  <c:v>0.63345492154066552</c:v>
                </c:pt>
                <c:pt idx="2426">
                  <c:v>0.63056282098415239</c:v>
                </c:pt>
                <c:pt idx="2427">
                  <c:v>0.65622042001594538</c:v>
                </c:pt>
                <c:pt idx="2428">
                  <c:v>0.65414187397246359</c:v>
                </c:pt>
                <c:pt idx="2429">
                  <c:v>0.64339196971933821</c:v>
                </c:pt>
                <c:pt idx="2430">
                  <c:v>0.63859846578876911</c:v>
                </c:pt>
                <c:pt idx="2431">
                  <c:v>0.62544817250620799</c:v>
                </c:pt>
                <c:pt idx="2432">
                  <c:v>0.59417037347582158</c:v>
                </c:pt>
                <c:pt idx="2433">
                  <c:v>0.59498148737959955</c:v>
                </c:pt>
                <c:pt idx="2434">
                  <c:v>0.60444757319213804</c:v>
                </c:pt>
                <c:pt idx="2435">
                  <c:v>0.59657653486935591</c:v>
                </c:pt>
                <c:pt idx="2436">
                  <c:v>0.5729549694491759</c:v>
                </c:pt>
                <c:pt idx="2437">
                  <c:v>0.57955290212843458</c:v>
                </c:pt>
                <c:pt idx="2438">
                  <c:v>0.57988290155323741</c:v>
                </c:pt>
                <c:pt idx="2439">
                  <c:v>0.58013740246325485</c:v>
                </c:pt>
                <c:pt idx="2440">
                  <c:v>0.58862191516449369</c:v>
                </c:pt>
                <c:pt idx="2441">
                  <c:v>0.59997897727489591</c:v>
                </c:pt>
                <c:pt idx="2442">
                  <c:v>0.59790504421343038</c:v>
                </c:pt>
                <c:pt idx="2443">
                  <c:v>0.58899634572627468</c:v>
                </c:pt>
                <c:pt idx="2444">
                  <c:v>0.59472770078263271</c:v>
                </c:pt>
                <c:pt idx="2445">
                  <c:v>0.59468253573206065</c:v>
                </c:pt>
                <c:pt idx="2446">
                  <c:v>0.6071941537260156</c:v>
                </c:pt>
                <c:pt idx="2447">
                  <c:v>0.60916983095347887</c:v>
                </c:pt>
                <c:pt idx="2448">
                  <c:v>0.54741370958354185</c:v>
                </c:pt>
                <c:pt idx="2449">
                  <c:v>0.6332017370826849</c:v>
                </c:pt>
                <c:pt idx="2450">
                  <c:v>0.64730295083194223</c:v>
                </c:pt>
                <c:pt idx="2451">
                  <c:v>0.65883682121304898</c:v>
                </c:pt>
                <c:pt idx="2452">
                  <c:v>0.68734878527136323</c:v>
                </c:pt>
                <c:pt idx="2453">
                  <c:v>0.64781792704025332</c:v>
                </c:pt>
                <c:pt idx="2454">
                  <c:v>0.64251457499023867</c:v>
                </c:pt>
                <c:pt idx="2455">
                  <c:v>0.66491205656798746</c:v>
                </c:pt>
                <c:pt idx="2456">
                  <c:v>0.6116296432052144</c:v>
                </c:pt>
                <c:pt idx="2457">
                  <c:v>0.60844462247408548</c:v>
                </c:pt>
                <c:pt idx="2458">
                  <c:v>0.61647992507976379</c:v>
                </c:pt>
                <c:pt idx="2459">
                  <c:v>0.58308185023814496</c:v>
                </c:pt>
                <c:pt idx="2460">
                  <c:v>0.5915454054441559</c:v>
                </c:pt>
                <c:pt idx="2461">
                  <c:v>0.59491019042331739</c:v>
                </c:pt>
                <c:pt idx="2462">
                  <c:v>0.59648086507001441</c:v>
                </c:pt>
                <c:pt idx="2463">
                  <c:v>0.60035072339878892</c:v>
                </c:pt>
                <c:pt idx="2464">
                  <c:v>0.60244699237848098</c:v>
                </c:pt>
                <c:pt idx="2465">
                  <c:v>0.62089774529410657</c:v>
                </c:pt>
                <c:pt idx="2466">
                  <c:v>0.64842519905770435</c:v>
                </c:pt>
                <c:pt idx="2467">
                  <c:v>0.6576157699090327</c:v>
                </c:pt>
                <c:pt idx="2468">
                  <c:v>0.65530942861741903</c:v>
                </c:pt>
                <c:pt idx="2469">
                  <c:v>0.65964736747393549</c:v>
                </c:pt>
                <c:pt idx="2470">
                  <c:v>0.66135165352452907</c:v>
                </c:pt>
                <c:pt idx="2471">
                  <c:v>0.65627361005131568</c:v>
                </c:pt>
                <c:pt idx="2472">
                  <c:v>0.64238883362945032</c:v>
                </c:pt>
                <c:pt idx="2473">
                  <c:v>0.6361721407791967</c:v>
                </c:pt>
                <c:pt idx="2474">
                  <c:v>0.63635407693050217</c:v>
                </c:pt>
                <c:pt idx="2475">
                  <c:v>0.65346240247163279</c:v>
                </c:pt>
                <c:pt idx="2476">
                  <c:v>0.66373822977764607</c:v>
                </c:pt>
                <c:pt idx="2477">
                  <c:v>0.64985881191666039</c:v>
                </c:pt>
                <c:pt idx="2478">
                  <c:v>0.65348526155572295</c:v>
                </c:pt>
                <c:pt idx="2479">
                  <c:v>0.6411836905348679</c:v>
                </c:pt>
                <c:pt idx="2480">
                  <c:v>0.60969544829996591</c:v>
                </c:pt>
                <c:pt idx="2481">
                  <c:v>0.58804985179098712</c:v>
                </c:pt>
                <c:pt idx="2482">
                  <c:v>0.57847027208374036</c:v>
                </c:pt>
                <c:pt idx="2483">
                  <c:v>0.58267787529281179</c:v>
                </c:pt>
                <c:pt idx="2484">
                  <c:v>0.58022052843294158</c:v>
                </c:pt>
                <c:pt idx="2485">
                  <c:v>0.55644941221587896</c:v>
                </c:pt>
                <c:pt idx="2486">
                  <c:v>0.58255081786775076</c:v>
                </c:pt>
                <c:pt idx="2487">
                  <c:v>0.57609844601143245</c:v>
                </c:pt>
                <c:pt idx="2488">
                  <c:v>0.58569428328739936</c:v>
                </c:pt>
                <c:pt idx="2489">
                  <c:v>0.60718406763102051</c:v>
                </c:pt>
                <c:pt idx="2490">
                  <c:v>0.59807875295592594</c:v>
                </c:pt>
                <c:pt idx="2491">
                  <c:v>0.60035551945060328</c:v>
                </c:pt>
                <c:pt idx="2492">
                  <c:v>0.59339850371432767</c:v>
                </c:pt>
                <c:pt idx="2493">
                  <c:v>0.61009947627665306</c:v>
                </c:pt>
                <c:pt idx="2494">
                  <c:v>0.60474624659636245</c:v>
                </c:pt>
                <c:pt idx="2495">
                  <c:v>0.63594694822049658</c:v>
                </c:pt>
                <c:pt idx="2496">
                  <c:v>0.61725350086611352</c:v>
                </c:pt>
                <c:pt idx="2497">
                  <c:v>0.59547362469739751</c:v>
                </c:pt>
                <c:pt idx="2498">
                  <c:v>0.61714770349550285</c:v>
                </c:pt>
                <c:pt idx="2499">
                  <c:v>0.61967224750944394</c:v>
                </c:pt>
                <c:pt idx="2500">
                  <c:v>0.64591327503384421</c:v>
                </c:pt>
                <c:pt idx="2501">
                  <c:v>0.61453856421169795</c:v>
                </c:pt>
                <c:pt idx="2502">
                  <c:v>0.649463375281505</c:v>
                </c:pt>
                <c:pt idx="2503">
                  <c:v>0.63319708826269061</c:v>
                </c:pt>
                <c:pt idx="2504">
                  <c:v>0.6179667766141933</c:v>
                </c:pt>
                <c:pt idx="2505">
                  <c:v>0.60723406661286139</c:v>
                </c:pt>
                <c:pt idx="2506">
                  <c:v>0.62080437481504425</c:v>
                </c:pt>
                <c:pt idx="2507">
                  <c:v>0.59754831252941398</c:v>
                </c:pt>
                <c:pt idx="2508">
                  <c:v>0.62048418417117501</c:v>
                </c:pt>
                <c:pt idx="2509">
                  <c:v>0.58658899234133299</c:v>
                </c:pt>
                <c:pt idx="2510">
                  <c:v>0.59068114506704816</c:v>
                </c:pt>
                <c:pt idx="2511">
                  <c:v>0.59537903468800357</c:v>
                </c:pt>
                <c:pt idx="2512">
                  <c:v>0.60653237443465735</c:v>
                </c:pt>
                <c:pt idx="2513">
                  <c:v>0.62819442475980314</c:v>
                </c:pt>
                <c:pt idx="2514">
                  <c:v>0.66340303477636531</c:v>
                </c:pt>
                <c:pt idx="2515">
                  <c:v>0.67193871067359001</c:v>
                </c:pt>
                <c:pt idx="2516">
                  <c:v>0.67361818133477669</c:v>
                </c:pt>
                <c:pt idx="2517">
                  <c:v>0.67811494428016716</c:v>
                </c:pt>
                <c:pt idx="2518">
                  <c:v>0.66605648475016677</c:v>
                </c:pt>
                <c:pt idx="2519">
                  <c:v>0.68701767322514407</c:v>
                </c:pt>
                <c:pt idx="2520">
                  <c:v>0.68994048013571496</c:v>
                </c:pt>
                <c:pt idx="2521">
                  <c:v>0.67047518908371895</c:v>
                </c:pt>
                <c:pt idx="2522">
                  <c:v>0.66072748698532091</c:v>
                </c:pt>
                <c:pt idx="2523">
                  <c:v>0.67409342323197141</c:v>
                </c:pt>
                <c:pt idx="2524">
                  <c:v>0.68513168624407916</c:v>
                </c:pt>
                <c:pt idx="2525">
                  <c:v>0.66310795844896031</c:v>
                </c:pt>
                <c:pt idx="2526">
                  <c:v>0.67220854272123864</c:v>
                </c:pt>
                <c:pt idx="2527">
                  <c:v>0.66390436495219418</c:v>
                </c:pt>
                <c:pt idx="2528">
                  <c:v>0.61898777171246466</c:v>
                </c:pt>
                <c:pt idx="2529">
                  <c:v>0.59513893933868189</c:v>
                </c:pt>
                <c:pt idx="2530">
                  <c:v>0.60214076259010185</c:v>
                </c:pt>
                <c:pt idx="2531">
                  <c:v>0.61058830695571353</c:v>
                </c:pt>
                <c:pt idx="2532">
                  <c:v>0.62744553822285398</c:v>
                </c:pt>
                <c:pt idx="2533">
                  <c:v>0.77054237445808638</c:v>
                </c:pt>
                <c:pt idx="2534">
                  <c:v>0.78583019564463108</c:v>
                </c:pt>
                <c:pt idx="2535">
                  <c:v>0.77557491667745349</c:v>
                </c:pt>
                <c:pt idx="2536">
                  <c:v>0.761908076820631</c:v>
                </c:pt>
                <c:pt idx="2537">
                  <c:v>0.75184793427986696</c:v>
                </c:pt>
                <c:pt idx="2538">
                  <c:v>0.7405379511710527</c:v>
                </c:pt>
                <c:pt idx="2539">
                  <c:v>0.74626099679442592</c:v>
                </c:pt>
                <c:pt idx="2540">
                  <c:v>0.72736937578421668</c:v>
                </c:pt>
                <c:pt idx="2541">
                  <c:v>0.70237779748493534</c:v>
                </c:pt>
                <c:pt idx="2542">
                  <c:v>0.59969283562013753</c:v>
                </c:pt>
                <c:pt idx="2543">
                  <c:v>0.61893148401956455</c:v>
                </c:pt>
                <c:pt idx="2544">
                  <c:v>0.62749520382195978</c:v>
                </c:pt>
                <c:pt idx="2545">
                  <c:v>0.43478472030619003</c:v>
                </c:pt>
                <c:pt idx="2546">
                  <c:v>0.63939613466484291</c:v>
                </c:pt>
                <c:pt idx="2547">
                  <c:v>0.62261693177419142</c:v>
                </c:pt>
                <c:pt idx="2548">
                  <c:v>0.65214505829817626</c:v>
                </c:pt>
                <c:pt idx="2549">
                  <c:v>0.65129051917260505</c:v>
                </c:pt>
                <c:pt idx="2550">
                  <c:v>0.63063775025613744</c:v>
                </c:pt>
                <c:pt idx="2551">
                  <c:v>0.63803715578048559</c:v>
                </c:pt>
                <c:pt idx="2552">
                  <c:v>0.65406492059374088</c:v>
                </c:pt>
                <c:pt idx="2553">
                  <c:v>0.60539458994018924</c:v>
                </c:pt>
                <c:pt idx="2554">
                  <c:v>0.62745772474104755</c:v>
                </c:pt>
                <c:pt idx="2555">
                  <c:v>0.61280832481712111</c:v>
                </c:pt>
                <c:pt idx="2556">
                  <c:v>0.61816340490174482</c:v>
                </c:pt>
                <c:pt idx="2557">
                  <c:v>0.61729344341861203</c:v>
                </c:pt>
                <c:pt idx="2558">
                  <c:v>0.58488572666532446</c:v>
                </c:pt>
                <c:pt idx="2559">
                  <c:v>0.5913876464917116</c:v>
                </c:pt>
                <c:pt idx="2560">
                  <c:v>0.60426515943379999</c:v>
                </c:pt>
                <c:pt idx="2561">
                  <c:v>0.59937263989483514</c:v>
                </c:pt>
                <c:pt idx="2562">
                  <c:v>0.63758058161945763</c:v>
                </c:pt>
                <c:pt idx="2563">
                  <c:v>0.66120377350517157</c:v>
                </c:pt>
                <c:pt idx="2564">
                  <c:v>0.67110329446946015</c:v>
                </c:pt>
                <c:pt idx="2565">
                  <c:v>0.66734618738203921</c:v>
                </c:pt>
                <c:pt idx="2566">
                  <c:v>0.65127520270780048</c:v>
                </c:pt>
                <c:pt idx="2567">
                  <c:v>0.66279172421100307</c:v>
                </c:pt>
                <c:pt idx="2568">
                  <c:v>0.65010461066318315</c:v>
                </c:pt>
                <c:pt idx="2569">
                  <c:v>0.63457399319490648</c:v>
                </c:pt>
                <c:pt idx="2570">
                  <c:v>0.63455565777443379</c:v>
                </c:pt>
                <c:pt idx="2571">
                  <c:v>0.65298700814798971</c:v>
                </c:pt>
                <c:pt idx="2572">
                  <c:v>0.66771279805224415</c:v>
                </c:pt>
                <c:pt idx="2573">
                  <c:v>0.66192725225849991</c:v>
                </c:pt>
                <c:pt idx="2574">
                  <c:v>0.65383185842418756</c:v>
                </c:pt>
                <c:pt idx="2575">
                  <c:v>0.66108816276742532</c:v>
                </c:pt>
                <c:pt idx="2576">
                  <c:v>0.64042329525903896</c:v>
                </c:pt>
                <c:pt idx="2577">
                  <c:v>0.58207962022807558</c:v>
                </c:pt>
                <c:pt idx="2578">
                  <c:v>0.58001119870525009</c:v>
                </c:pt>
                <c:pt idx="2579">
                  <c:v>0.56727145563578751</c:v>
                </c:pt>
                <c:pt idx="2580">
                  <c:v>0.58769357044713277</c:v>
                </c:pt>
                <c:pt idx="2581">
                  <c:v>0.6036199948651052</c:v>
                </c:pt>
                <c:pt idx="2582">
                  <c:v>0.69283335286854197</c:v>
                </c:pt>
                <c:pt idx="2583">
                  <c:v>0.67544983952784032</c:v>
                </c:pt>
                <c:pt idx="2584">
                  <c:v>0.66820992653382827</c:v>
                </c:pt>
                <c:pt idx="2585">
                  <c:v>0.64760837304848851</c:v>
                </c:pt>
                <c:pt idx="2586">
                  <c:v>0.6467120344687981</c:v>
                </c:pt>
                <c:pt idx="2587">
                  <c:v>0.65751764301613402</c:v>
                </c:pt>
                <c:pt idx="2588">
                  <c:v>0.64951477126255408</c:v>
                </c:pt>
                <c:pt idx="2589">
                  <c:v>0.63506181382895732</c:v>
                </c:pt>
                <c:pt idx="2590">
                  <c:v>0.64331733318679196</c:v>
                </c:pt>
                <c:pt idx="2591">
                  <c:v>0.6079780062391672</c:v>
                </c:pt>
                <c:pt idx="2592">
                  <c:v>0.64314194609365871</c:v>
                </c:pt>
                <c:pt idx="2593">
                  <c:v>0.62775644350678905</c:v>
                </c:pt>
                <c:pt idx="2594">
                  <c:v>0.61538383801573648</c:v>
                </c:pt>
                <c:pt idx="2595">
                  <c:v>0.64800647828952718</c:v>
                </c:pt>
                <c:pt idx="2596">
                  <c:v>0.62581448091383518</c:v>
                </c:pt>
                <c:pt idx="2597">
                  <c:v>0.62873673726163859</c:v>
                </c:pt>
                <c:pt idx="2598">
                  <c:v>0.6535604854893533</c:v>
                </c:pt>
                <c:pt idx="2599">
                  <c:v>0.5975578569700073</c:v>
                </c:pt>
                <c:pt idx="2600">
                  <c:v>0.61025037050868314</c:v>
                </c:pt>
                <c:pt idx="2601">
                  <c:v>0.60944915771685848</c:v>
                </c:pt>
                <c:pt idx="2602">
                  <c:v>0.602544285270876</c:v>
                </c:pt>
                <c:pt idx="2603">
                  <c:v>0.60430383020587364</c:v>
                </c:pt>
                <c:pt idx="2604">
                  <c:v>0.59440802115011337</c:v>
                </c:pt>
                <c:pt idx="2605">
                  <c:v>0.59878733432332276</c:v>
                </c:pt>
                <c:pt idx="2606">
                  <c:v>0.60795069382172084</c:v>
                </c:pt>
                <c:pt idx="2607">
                  <c:v>0.5963738438750158</c:v>
                </c:pt>
                <c:pt idx="2608">
                  <c:v>0.58802226613224162</c:v>
                </c:pt>
                <c:pt idx="2609">
                  <c:v>0.62013199320781054</c:v>
                </c:pt>
                <c:pt idx="2610">
                  <c:v>0.65508731572679901</c:v>
                </c:pt>
                <c:pt idx="2611">
                  <c:v>0.66492990569299204</c:v>
                </c:pt>
                <c:pt idx="2612">
                  <c:v>0.66468079711553973</c:v>
                </c:pt>
                <c:pt idx="2613">
                  <c:v>0.6630174810310574</c:v>
                </c:pt>
                <c:pt idx="2614">
                  <c:v>0.66378278359756571</c:v>
                </c:pt>
                <c:pt idx="2615">
                  <c:v>0.67924596362458622</c:v>
                </c:pt>
                <c:pt idx="2616">
                  <c:v>0.65863451993289945</c:v>
                </c:pt>
                <c:pt idx="2617">
                  <c:v>0.65727858688722396</c:v>
                </c:pt>
                <c:pt idx="2618">
                  <c:v>0.64607341919765426</c:v>
                </c:pt>
                <c:pt idx="2619">
                  <c:v>0.65087979283392861</c:v>
                </c:pt>
                <c:pt idx="2620">
                  <c:v>0.65489056642077992</c:v>
                </c:pt>
                <c:pt idx="2621">
                  <c:v>0.64435891226460185</c:v>
                </c:pt>
                <c:pt idx="2622">
                  <c:v>0.69016842611169515</c:v>
                </c:pt>
                <c:pt idx="2623">
                  <c:v>0.67019100601291615</c:v>
                </c:pt>
                <c:pt idx="2624">
                  <c:v>0.58938632803607405</c:v>
                </c:pt>
                <c:pt idx="2625">
                  <c:v>0.5960396316322879</c:v>
                </c:pt>
                <c:pt idx="2626">
                  <c:v>0.57456541086141322</c:v>
                </c:pt>
                <c:pt idx="2627">
                  <c:v>0.56060918282143135</c:v>
                </c:pt>
                <c:pt idx="2628">
                  <c:v>0.56071261157835961</c:v>
                </c:pt>
                <c:pt idx="2629">
                  <c:v>0.56571503172009141</c:v>
                </c:pt>
                <c:pt idx="2630">
                  <c:v>0.57550317144463536</c:v>
                </c:pt>
                <c:pt idx="2631">
                  <c:v>0.58429944280118207</c:v>
                </c:pt>
                <c:pt idx="2632">
                  <c:v>0.59654486720028199</c:v>
                </c:pt>
                <c:pt idx="2633">
                  <c:v>0.58738832263247565</c:v>
                </c:pt>
                <c:pt idx="2634">
                  <c:v>0.60820586408895261</c:v>
                </c:pt>
                <c:pt idx="2635">
                  <c:v>0.59272433395992008</c:v>
                </c:pt>
                <c:pt idx="2636">
                  <c:v>0.58297249636473059</c:v>
                </c:pt>
                <c:pt idx="2637">
                  <c:v>0.59236986998028662</c:v>
                </c:pt>
                <c:pt idx="2638">
                  <c:v>0.59663381669598514</c:v>
                </c:pt>
                <c:pt idx="2639">
                  <c:v>0.59257576953217039</c:v>
                </c:pt>
                <c:pt idx="2640">
                  <c:v>0.5715503378002148</c:v>
                </c:pt>
                <c:pt idx="2641">
                  <c:v>0.63569692101476682</c:v>
                </c:pt>
                <c:pt idx="2642">
                  <c:v>0.63442456719178952</c:v>
                </c:pt>
                <c:pt idx="2643">
                  <c:v>0.66212367661529703</c:v>
                </c:pt>
                <c:pt idx="2644">
                  <c:v>0.647765938932507</c:v>
                </c:pt>
                <c:pt idx="2645">
                  <c:v>0.65318404242606998</c:v>
                </c:pt>
                <c:pt idx="2646">
                  <c:v>0.69247765607333256</c:v>
                </c:pt>
                <c:pt idx="2647">
                  <c:v>0.60855587692629554</c:v>
                </c:pt>
                <c:pt idx="2648">
                  <c:v>0.63091458158743008</c:v>
                </c:pt>
                <c:pt idx="2649">
                  <c:v>0.62428354004294562</c:v>
                </c:pt>
                <c:pt idx="2650">
                  <c:v>0.61963804932845035</c:v>
                </c:pt>
                <c:pt idx="2651">
                  <c:v>0.61068113219465803</c:v>
                </c:pt>
                <c:pt idx="2652">
                  <c:v>0.59929528574709412</c:v>
                </c:pt>
                <c:pt idx="2653">
                  <c:v>0.60980392977308828</c:v>
                </c:pt>
                <c:pt idx="2654">
                  <c:v>0.61731587673205957</c:v>
                </c:pt>
                <c:pt idx="2655">
                  <c:v>0.59555408715899705</c:v>
                </c:pt>
                <c:pt idx="2656">
                  <c:v>0.60053467943748817</c:v>
                </c:pt>
                <c:pt idx="2657">
                  <c:v>0.62987361804347175</c:v>
                </c:pt>
                <c:pt idx="2658">
                  <c:v>0.64937818862328578</c:v>
                </c:pt>
                <c:pt idx="2659">
                  <c:v>0.65327504767840483</c:v>
                </c:pt>
                <c:pt idx="2660">
                  <c:v>0.65041321774061112</c:v>
                </c:pt>
                <c:pt idx="2661">
                  <c:v>0.64970054425577861</c:v>
                </c:pt>
                <c:pt idx="2662">
                  <c:v>0.64665628863497449</c:v>
                </c:pt>
                <c:pt idx="2663">
                  <c:v>0.66334533667167006</c:v>
                </c:pt>
                <c:pt idx="2664">
                  <c:v>0.63836554028585724</c:v>
                </c:pt>
                <c:pt idx="2665">
                  <c:v>0.63224961130451429</c:v>
                </c:pt>
                <c:pt idx="2666">
                  <c:v>0.6291731194955541</c:v>
                </c:pt>
                <c:pt idx="2667">
                  <c:v>0.6379787858484981</c:v>
                </c:pt>
                <c:pt idx="2668">
                  <c:v>0.64109011569338548</c:v>
                </c:pt>
                <c:pt idx="2669">
                  <c:v>0.63223674822801523</c:v>
                </c:pt>
                <c:pt idx="2670">
                  <c:v>0.68456863509338195</c:v>
                </c:pt>
                <c:pt idx="2671">
                  <c:v>0.64141153982839105</c:v>
                </c:pt>
                <c:pt idx="2672">
                  <c:v>0.63712262558508781</c:v>
                </c:pt>
                <c:pt idx="2673">
                  <c:v>0.7153895526643308</c:v>
                </c:pt>
                <c:pt idx="2674">
                  <c:v>0.73183243351584315</c:v>
                </c:pt>
                <c:pt idx="2675">
                  <c:v>0.7538855809273165</c:v>
                </c:pt>
                <c:pt idx="2676">
                  <c:v>0.77058178169774472</c:v>
                </c:pt>
                <c:pt idx="2677">
                  <c:v>0.77671817778782626</c:v>
                </c:pt>
                <c:pt idx="2678">
                  <c:v>0.80850900063358355</c:v>
                </c:pt>
                <c:pt idx="2679">
                  <c:v>0.82218325324748165</c:v>
                </c:pt>
                <c:pt idx="2680">
                  <c:v>0.83974206340480317</c:v>
                </c:pt>
                <c:pt idx="2681">
                  <c:v>0.85568369605738537</c:v>
                </c:pt>
                <c:pt idx="2682">
                  <c:v>0.88222560862204835</c:v>
                </c:pt>
                <c:pt idx="2683">
                  <c:v>0.8800099758838219</c:v>
                </c:pt>
                <c:pt idx="2684">
                  <c:v>0.86098082556079725</c:v>
                </c:pt>
                <c:pt idx="2685">
                  <c:v>0.90090357426206769</c:v>
                </c:pt>
                <c:pt idx="2686">
                  <c:v>0.91370600685244241</c:v>
                </c:pt>
                <c:pt idx="2687">
                  <c:v>0.89967388962058303</c:v>
                </c:pt>
                <c:pt idx="2688">
                  <c:v>0.71134832109808199</c:v>
                </c:pt>
                <c:pt idx="2689">
                  <c:v>0.69413775187959292</c:v>
                </c:pt>
                <c:pt idx="2690">
                  <c:v>0.64203773251751783</c:v>
                </c:pt>
                <c:pt idx="2691">
                  <c:v>0.61202954221012118</c:v>
                </c:pt>
                <c:pt idx="2692">
                  <c:v>0.62732344935359363</c:v>
                </c:pt>
                <c:pt idx="2693">
                  <c:v>0.64265768391246658</c:v>
                </c:pt>
                <c:pt idx="2694">
                  <c:v>0.58842634418209527</c:v>
                </c:pt>
                <c:pt idx="2695">
                  <c:v>0.62045827148529165</c:v>
                </c:pt>
                <c:pt idx="2696">
                  <c:v>0.60131921354245821</c:v>
                </c:pt>
                <c:pt idx="2697">
                  <c:v>0.61234489159925909</c:v>
                </c:pt>
                <c:pt idx="2698">
                  <c:v>0.59823289552115877</c:v>
                </c:pt>
                <c:pt idx="2699">
                  <c:v>0.59604480579343522</c:v>
                </c:pt>
                <c:pt idx="2700">
                  <c:v>0.59114366369775162</c:v>
                </c:pt>
                <c:pt idx="2701">
                  <c:v>0.59990260397423278</c:v>
                </c:pt>
                <c:pt idx="2702">
                  <c:v>0.62245919020701734</c:v>
                </c:pt>
                <c:pt idx="2703">
                  <c:v>0.58804233879739021</c:v>
                </c:pt>
                <c:pt idx="2704">
                  <c:v>0.57640101839887448</c:v>
                </c:pt>
                <c:pt idx="2705">
                  <c:v>0.58321555578101847</c:v>
                </c:pt>
                <c:pt idx="2706">
                  <c:v>0.5778481656973653</c:v>
                </c:pt>
                <c:pt idx="2707">
                  <c:v>0.56858408697175056</c:v>
                </c:pt>
                <c:pt idx="2708">
                  <c:v>0.57055601521785393</c:v>
                </c:pt>
                <c:pt idx="2709">
                  <c:v>0.58341700030084453</c:v>
                </c:pt>
                <c:pt idx="2710">
                  <c:v>0.56645210592904849</c:v>
                </c:pt>
                <c:pt idx="2711">
                  <c:v>0.56735625756232955</c:v>
                </c:pt>
                <c:pt idx="2712">
                  <c:v>0.58410983609984601</c:v>
                </c:pt>
                <c:pt idx="2713">
                  <c:v>0.56338769017320989</c:v>
                </c:pt>
                <c:pt idx="2714">
                  <c:v>0.55752115685039982</c:v>
                </c:pt>
                <c:pt idx="2715">
                  <c:v>0.5567016269568521</c:v>
                </c:pt>
                <c:pt idx="2716">
                  <c:v>0.56762137728290507</c:v>
                </c:pt>
                <c:pt idx="2717">
                  <c:v>0.57939404266833583</c:v>
                </c:pt>
                <c:pt idx="2718">
                  <c:v>0.57561592216544843</c:v>
                </c:pt>
                <c:pt idx="2719">
                  <c:v>0.58017862488472804</c:v>
                </c:pt>
                <c:pt idx="2720">
                  <c:v>0.59069786313423422</c:v>
                </c:pt>
                <c:pt idx="2721">
                  <c:v>0.57469771662704872</c:v>
                </c:pt>
                <c:pt idx="2722">
                  <c:v>0.57887187905471749</c:v>
                </c:pt>
                <c:pt idx="2723">
                  <c:v>0.56138823346500244</c:v>
                </c:pt>
                <c:pt idx="2724">
                  <c:v>0.609016210099666</c:v>
                </c:pt>
                <c:pt idx="2725">
                  <c:v>0.60018544525540574</c:v>
                </c:pt>
                <c:pt idx="2726">
                  <c:v>0.61473052881212342</c:v>
                </c:pt>
                <c:pt idx="2727">
                  <c:v>0.61452600972428206</c:v>
                </c:pt>
                <c:pt idx="2728">
                  <c:v>0.60564932779737879</c:v>
                </c:pt>
                <c:pt idx="2729">
                  <c:v>0.58230022754777444</c:v>
                </c:pt>
                <c:pt idx="2730">
                  <c:v>0.60561077665201446</c:v>
                </c:pt>
                <c:pt idx="2731">
                  <c:v>0.22090217285257036</c:v>
                </c:pt>
                <c:pt idx="2732">
                  <c:v>0.59882157356951971</c:v>
                </c:pt>
                <c:pt idx="2733">
                  <c:v>0.59917124998953475</c:v>
                </c:pt>
                <c:pt idx="2734">
                  <c:v>0.6235966904040432</c:v>
                </c:pt>
                <c:pt idx="2735">
                  <c:v>0.61567003600223336</c:v>
                </c:pt>
                <c:pt idx="2736">
                  <c:v>0.54498690733018351</c:v>
                </c:pt>
                <c:pt idx="2737">
                  <c:v>0.94674413660884793</c:v>
                </c:pt>
                <c:pt idx="2738">
                  <c:v>0.9438046437586427</c:v>
                </c:pt>
                <c:pt idx="2739">
                  <c:v>0.98352597741773906</c:v>
                </c:pt>
                <c:pt idx="2740">
                  <c:v>0.95562652153737127</c:v>
                </c:pt>
                <c:pt idx="2741">
                  <c:v>1.0000817265312687</c:v>
                </c:pt>
                <c:pt idx="2742">
                  <c:v>1.0324863976976053</c:v>
                </c:pt>
                <c:pt idx="2743">
                  <c:v>0.91950213344553444</c:v>
                </c:pt>
                <c:pt idx="2744">
                  <c:v>0.97703509163115676</c:v>
                </c:pt>
                <c:pt idx="2745">
                  <c:v>0.94911592427602798</c:v>
                </c:pt>
                <c:pt idx="2746">
                  <c:v>0.97398058934273357</c:v>
                </c:pt>
                <c:pt idx="2747">
                  <c:v>0.95579647865363027</c:v>
                </c:pt>
                <c:pt idx="2748">
                  <c:v>0.9594603082525156</c:v>
                </c:pt>
                <c:pt idx="2749">
                  <c:v>0.94572145602951418</c:v>
                </c:pt>
                <c:pt idx="2750">
                  <c:v>0.94575058800903111</c:v>
                </c:pt>
                <c:pt idx="2751">
                  <c:v>1.0215092768788294</c:v>
                </c:pt>
                <c:pt idx="2752">
                  <c:v>0.9576825518637474</c:v>
                </c:pt>
                <c:pt idx="2753">
                  <c:v>0.90686217941430436</c:v>
                </c:pt>
                <c:pt idx="2754">
                  <c:v>0.92016054248041323</c:v>
                </c:pt>
                <c:pt idx="2755">
                  <c:v>0.90434101441425152</c:v>
                </c:pt>
                <c:pt idx="2756">
                  <c:v>0.90262477138206365</c:v>
                </c:pt>
                <c:pt idx="2757">
                  <c:v>0.87447654119239904</c:v>
                </c:pt>
                <c:pt idx="2758">
                  <c:v>0.86140667245995228</c:v>
                </c:pt>
                <c:pt idx="2759">
                  <c:v>0.83365814345936629</c:v>
                </c:pt>
                <c:pt idx="2760">
                  <c:v>0.86071277574213756</c:v>
                </c:pt>
                <c:pt idx="2761">
                  <c:v>0.86871260376209625</c:v>
                </c:pt>
                <c:pt idx="2762">
                  <c:v>0.8369495935835588</c:v>
                </c:pt>
                <c:pt idx="2763">
                  <c:v>0.80844433505731772</c:v>
                </c:pt>
                <c:pt idx="2764">
                  <c:v>0.82153481682819363</c:v>
                </c:pt>
                <c:pt idx="2765">
                  <c:v>0.84025568690486419</c:v>
                </c:pt>
                <c:pt idx="2766">
                  <c:v>0.82035465103192717</c:v>
                </c:pt>
                <c:pt idx="2767">
                  <c:v>0.8334339321393639</c:v>
                </c:pt>
                <c:pt idx="2768">
                  <c:v>0.84815024435557174</c:v>
                </c:pt>
                <c:pt idx="2769">
                  <c:v>0.84024131973288896</c:v>
                </c:pt>
                <c:pt idx="2770">
                  <c:v>0.82942658037942096</c:v>
                </c:pt>
                <c:pt idx="2771">
                  <c:v>0.84790916865065258</c:v>
                </c:pt>
                <c:pt idx="2772">
                  <c:v>0.83109560556599382</c:v>
                </c:pt>
                <c:pt idx="2773">
                  <c:v>0.89532423849091314</c:v>
                </c:pt>
                <c:pt idx="2774">
                  <c:v>0.88458258114407229</c:v>
                </c:pt>
                <c:pt idx="2775">
                  <c:v>0.9163975129214702</c:v>
                </c:pt>
                <c:pt idx="2776">
                  <c:v>0.91681828719582403</c:v>
                </c:pt>
                <c:pt idx="2777">
                  <c:v>0.94260260448784783</c:v>
                </c:pt>
                <c:pt idx="2778">
                  <c:v>0.91663089407997611</c:v>
                </c:pt>
                <c:pt idx="2779">
                  <c:v>0.92710857809509883</c:v>
                </c:pt>
                <c:pt idx="2780">
                  <c:v>0.44496973236341464</c:v>
                </c:pt>
                <c:pt idx="2781">
                  <c:v>0.94594363640357149</c:v>
                </c:pt>
                <c:pt idx="2782">
                  <c:v>0.92418078310763918</c:v>
                </c:pt>
                <c:pt idx="2783">
                  <c:v>0.95675889038935324</c:v>
                </c:pt>
                <c:pt idx="2784">
                  <c:v>0.65722704975389923</c:v>
                </c:pt>
                <c:pt idx="2785">
                  <c:v>0.64796574642846005</c:v>
                </c:pt>
                <c:pt idx="2786">
                  <c:v>0.59255679311844411</c:v>
                </c:pt>
                <c:pt idx="2787">
                  <c:v>0.62979539926631145</c:v>
                </c:pt>
                <c:pt idx="2788">
                  <c:v>0.64948518037995029</c:v>
                </c:pt>
                <c:pt idx="2789">
                  <c:v>0.65070481310793704</c:v>
                </c:pt>
                <c:pt idx="2790">
                  <c:v>0.61488435566631938</c:v>
                </c:pt>
                <c:pt idx="2791">
                  <c:v>0.63273964364554047</c:v>
                </c:pt>
                <c:pt idx="2792">
                  <c:v>0.63723538263284041</c:v>
                </c:pt>
                <c:pt idx="2793">
                  <c:v>0.63842425767520927</c:v>
                </c:pt>
                <c:pt idx="2794">
                  <c:v>0.61084171983718671</c:v>
                </c:pt>
                <c:pt idx="2795">
                  <c:v>0.62427652527689681</c:v>
                </c:pt>
                <c:pt idx="2796">
                  <c:v>0.61224711853501002</c:v>
                </c:pt>
                <c:pt idx="2797">
                  <c:v>0.60418467430070599</c:v>
                </c:pt>
                <c:pt idx="2798">
                  <c:v>0.62119508694234837</c:v>
                </c:pt>
                <c:pt idx="2799">
                  <c:v>0.61252076407069456</c:v>
                </c:pt>
                <c:pt idx="2800">
                  <c:v>0.62126905295959989</c:v>
                </c:pt>
                <c:pt idx="2801">
                  <c:v>0.61683152091654248</c:v>
                </c:pt>
                <c:pt idx="2802">
                  <c:v>0.6090575584694784</c:v>
                </c:pt>
                <c:pt idx="2803">
                  <c:v>0.52847369962542767</c:v>
                </c:pt>
                <c:pt idx="2804">
                  <c:v>0.55821136676257732</c:v>
                </c:pt>
                <c:pt idx="2805">
                  <c:v>0.55875283752120486</c:v>
                </c:pt>
                <c:pt idx="2806">
                  <c:v>0.56220492579440384</c:v>
                </c:pt>
                <c:pt idx="2807">
                  <c:v>0.59495566289911483</c:v>
                </c:pt>
                <c:pt idx="2808">
                  <c:v>0.56795081719466123</c:v>
                </c:pt>
                <c:pt idx="2809">
                  <c:v>0.57490719541114743</c:v>
                </c:pt>
                <c:pt idx="2810">
                  <c:v>0.56187216851434008</c:v>
                </c:pt>
                <c:pt idx="2811">
                  <c:v>0.56947480405159101</c:v>
                </c:pt>
                <c:pt idx="2812">
                  <c:v>0.5912298302119644</c:v>
                </c:pt>
                <c:pt idx="2813">
                  <c:v>0.58693887335639583</c:v>
                </c:pt>
                <c:pt idx="2814">
                  <c:v>0.55440907768288206</c:v>
                </c:pt>
                <c:pt idx="2815">
                  <c:v>0.57550813447707561</c:v>
                </c:pt>
                <c:pt idx="2816">
                  <c:v>0.56414815227321513</c:v>
                </c:pt>
                <c:pt idx="2817">
                  <c:v>0.56265169328747466</c:v>
                </c:pt>
                <c:pt idx="2818">
                  <c:v>0.57541798311648618</c:v>
                </c:pt>
                <c:pt idx="2819">
                  <c:v>0.55672922665718971</c:v>
                </c:pt>
                <c:pt idx="2820">
                  <c:v>0.56607481982218633</c:v>
                </c:pt>
                <c:pt idx="2821">
                  <c:v>0.55407599005998542</c:v>
                </c:pt>
                <c:pt idx="2822">
                  <c:v>0.58482088668168097</c:v>
                </c:pt>
                <c:pt idx="2823">
                  <c:v>0.5665737108357275</c:v>
                </c:pt>
                <c:pt idx="2824">
                  <c:v>0.57499814617944411</c:v>
                </c:pt>
                <c:pt idx="2825">
                  <c:v>0.58382742209823135</c:v>
                </c:pt>
                <c:pt idx="2826">
                  <c:v>0.57905142215326644</c:v>
                </c:pt>
                <c:pt idx="2827">
                  <c:v>0.60158983029553059</c:v>
                </c:pt>
                <c:pt idx="2828">
                  <c:v>0.6016691676421746</c:v>
                </c:pt>
                <c:pt idx="2829">
                  <c:v>0.57561407592060676</c:v>
                </c:pt>
                <c:pt idx="2830">
                  <c:v>0.60550081170784953</c:v>
                </c:pt>
                <c:pt idx="2831">
                  <c:v>0.59348178779678507</c:v>
                </c:pt>
                <c:pt idx="2832">
                  <c:v>0.97472657618991121</c:v>
                </c:pt>
                <c:pt idx="2833">
                  <c:v>1.0323157770878868</c:v>
                </c:pt>
                <c:pt idx="2834">
                  <c:v>0.9136318342655716</c:v>
                </c:pt>
                <c:pt idx="2835">
                  <c:v>1.0044332869398382</c:v>
                </c:pt>
                <c:pt idx="2836">
                  <c:v>1.0035491053639294</c:v>
                </c:pt>
                <c:pt idx="2837">
                  <c:v>1.0545815345102156</c:v>
                </c:pt>
                <c:pt idx="2838">
                  <c:v>0.98531031733764818</c:v>
                </c:pt>
                <c:pt idx="2839">
                  <c:v>1.0030018249107757</c:v>
                </c:pt>
                <c:pt idx="2840">
                  <c:v>1.020177082838692</c:v>
                </c:pt>
                <c:pt idx="2841">
                  <c:v>1.007297678897684</c:v>
                </c:pt>
                <c:pt idx="2842">
                  <c:v>0.9883611607109013</c:v>
                </c:pt>
                <c:pt idx="2843">
                  <c:v>0.97466686887177145</c:v>
                </c:pt>
                <c:pt idx="2844">
                  <c:v>0.97084491324736011</c:v>
                </c:pt>
                <c:pt idx="2845">
                  <c:v>0.97478360581628776</c:v>
                </c:pt>
                <c:pt idx="2846">
                  <c:v>0.98640887967396784</c:v>
                </c:pt>
                <c:pt idx="2847">
                  <c:v>0.95157917966230199</c:v>
                </c:pt>
                <c:pt idx="2848">
                  <c:v>0.96121528940023004</c:v>
                </c:pt>
                <c:pt idx="2849">
                  <c:v>0.94506157576358785</c:v>
                </c:pt>
                <c:pt idx="2850">
                  <c:v>0.92662181804502264</c:v>
                </c:pt>
                <c:pt idx="2851">
                  <c:v>0.91070778782698181</c:v>
                </c:pt>
                <c:pt idx="2852">
                  <c:v>0.59212821588816633</c:v>
                </c:pt>
                <c:pt idx="2853">
                  <c:v>0.56708638645200038</c:v>
                </c:pt>
                <c:pt idx="2854">
                  <c:v>0.55815118834559441</c:v>
                </c:pt>
                <c:pt idx="2855">
                  <c:v>0.56606904008006853</c:v>
                </c:pt>
                <c:pt idx="2856">
                  <c:v>0.62124921218853701</c:v>
                </c:pt>
                <c:pt idx="2857">
                  <c:v>0.55356592445794262</c:v>
                </c:pt>
                <c:pt idx="2858">
                  <c:v>0.57906218322093095</c:v>
                </c:pt>
                <c:pt idx="2859">
                  <c:v>0.55365380910439799</c:v>
                </c:pt>
                <c:pt idx="2860">
                  <c:v>0.56719781390124757</c:v>
                </c:pt>
                <c:pt idx="2861">
                  <c:v>0.57943647950074895</c:v>
                </c:pt>
                <c:pt idx="2862">
                  <c:v>0.53997801716897009</c:v>
                </c:pt>
                <c:pt idx="2863">
                  <c:v>0.55313935853347673</c:v>
                </c:pt>
                <c:pt idx="2864">
                  <c:v>0.55449545934810807</c:v>
                </c:pt>
                <c:pt idx="2865">
                  <c:v>0.5399849063173543</c:v>
                </c:pt>
                <c:pt idx="2866">
                  <c:v>0.56513796989283538</c:v>
                </c:pt>
                <c:pt idx="2867">
                  <c:v>0.55132042225717071</c:v>
                </c:pt>
                <c:pt idx="2868">
                  <c:v>0.57053441735279742</c:v>
                </c:pt>
                <c:pt idx="2869">
                  <c:v>0.5418452302462835</c:v>
                </c:pt>
                <c:pt idx="2870">
                  <c:v>0.58050004837687308</c:v>
                </c:pt>
                <c:pt idx="2871">
                  <c:v>0.57506781984186273</c:v>
                </c:pt>
                <c:pt idx="2872">
                  <c:v>0.59071424621572022</c:v>
                </c:pt>
                <c:pt idx="2873">
                  <c:v>0.59780878952125849</c:v>
                </c:pt>
                <c:pt idx="2874">
                  <c:v>0.59029165491406754</c:v>
                </c:pt>
                <c:pt idx="2875">
                  <c:v>0.60817803072415011</c:v>
                </c:pt>
                <c:pt idx="2876">
                  <c:v>0.60644650439756609</c:v>
                </c:pt>
                <c:pt idx="2877">
                  <c:v>0.59828612608537446</c:v>
                </c:pt>
                <c:pt idx="2878">
                  <c:v>0.60433806932820333</c:v>
                </c:pt>
                <c:pt idx="2879">
                  <c:v>0.61468286200631383</c:v>
                </c:pt>
                <c:pt idx="2880">
                  <c:v>0.61115102155613887</c:v>
                </c:pt>
                <c:pt idx="2881">
                  <c:v>0.59413366465992823</c:v>
                </c:pt>
                <c:pt idx="2882">
                  <c:v>0.58538514441119749</c:v>
                </c:pt>
                <c:pt idx="2883">
                  <c:v>0.58762566883806999</c:v>
                </c:pt>
                <c:pt idx="2884">
                  <c:v>0.60104135425804206</c:v>
                </c:pt>
                <c:pt idx="2885">
                  <c:v>0.61020881588775078</c:v>
                </c:pt>
                <c:pt idx="2886">
                  <c:v>0.5963643833846255</c:v>
                </c:pt>
                <c:pt idx="2887">
                  <c:v>0.61916045316821455</c:v>
                </c:pt>
                <c:pt idx="2888">
                  <c:v>0.59498579131038953</c:v>
                </c:pt>
                <c:pt idx="2889">
                  <c:v>0.58552265435852602</c:v>
                </c:pt>
                <c:pt idx="2890">
                  <c:v>0.56766592032481022</c:v>
                </c:pt>
                <c:pt idx="2891">
                  <c:v>0.57632683508134253</c:v>
                </c:pt>
                <c:pt idx="2892">
                  <c:v>0.58055766487151272</c:v>
                </c:pt>
                <c:pt idx="2893">
                  <c:v>0.56878211691142255</c:v>
                </c:pt>
                <c:pt idx="2894">
                  <c:v>0.55570602216373399</c:v>
                </c:pt>
                <c:pt idx="2895">
                  <c:v>0.5653942870800357</c:v>
                </c:pt>
                <c:pt idx="2896">
                  <c:v>0.56892967198427591</c:v>
                </c:pt>
                <c:pt idx="2897">
                  <c:v>0.56642075650859225</c:v>
                </c:pt>
                <c:pt idx="2898">
                  <c:v>0.56449373230887323</c:v>
                </c:pt>
                <c:pt idx="2899">
                  <c:v>0.56845178221011727</c:v>
                </c:pt>
                <c:pt idx="2900">
                  <c:v>0.56579588905482714</c:v>
                </c:pt>
                <c:pt idx="2901">
                  <c:v>0.56497528541601127</c:v>
                </c:pt>
                <c:pt idx="2902">
                  <c:v>0.55565516105593205</c:v>
                </c:pt>
                <c:pt idx="2903">
                  <c:v>0.58098777855167005</c:v>
                </c:pt>
                <c:pt idx="2904">
                  <c:v>0.57894791912174703</c:v>
                </c:pt>
                <c:pt idx="2905">
                  <c:v>0.57882446179176261</c:v>
                </c:pt>
                <c:pt idx="2906">
                  <c:v>0.60506369240276758</c:v>
                </c:pt>
                <c:pt idx="2907">
                  <c:v>0.58214339305451368</c:v>
                </c:pt>
                <c:pt idx="2908">
                  <c:v>0.57733574749005234</c:v>
                </c:pt>
                <c:pt idx="2909">
                  <c:v>0.59128047567601005</c:v>
                </c:pt>
                <c:pt idx="2910">
                  <c:v>0.56685496844865613</c:v>
                </c:pt>
                <c:pt idx="2911">
                  <c:v>0.571840846579169</c:v>
                </c:pt>
                <c:pt idx="2912">
                  <c:v>0.57068616339439748</c:v>
                </c:pt>
                <c:pt idx="2913">
                  <c:v>0.55437563500568166</c:v>
                </c:pt>
                <c:pt idx="2914">
                  <c:v>0.59198222543595425</c:v>
                </c:pt>
                <c:pt idx="2915">
                  <c:v>0.5900779727509663</c:v>
                </c:pt>
                <c:pt idx="2916">
                  <c:v>0.6056161610957943</c:v>
                </c:pt>
                <c:pt idx="2917">
                  <c:v>0.60303508128052297</c:v>
                </c:pt>
                <c:pt idx="2918">
                  <c:v>0.60693613357529141</c:v>
                </c:pt>
                <c:pt idx="2919">
                  <c:v>0.63425492703022635</c:v>
                </c:pt>
                <c:pt idx="2920">
                  <c:v>0.61565793508846645</c:v>
                </c:pt>
                <c:pt idx="2921">
                  <c:v>0.62102685045631356</c:v>
                </c:pt>
                <c:pt idx="2922">
                  <c:v>0.62542183411322805</c:v>
                </c:pt>
                <c:pt idx="2923">
                  <c:v>0.63743819151032677</c:v>
                </c:pt>
                <c:pt idx="2924">
                  <c:v>0.62534219191137808</c:v>
                </c:pt>
                <c:pt idx="2925">
                  <c:v>0.63101982062422735</c:v>
                </c:pt>
                <c:pt idx="2926">
                  <c:v>0.64895843691168253</c:v>
                </c:pt>
                <c:pt idx="2927">
                  <c:v>0.6043286727400401</c:v>
                </c:pt>
                <c:pt idx="2928">
                  <c:v>0.63779542925497368</c:v>
                </c:pt>
                <c:pt idx="2929">
                  <c:v>0.63950740661833272</c:v>
                </c:pt>
                <c:pt idx="2930">
                  <c:v>0.60939172674779607</c:v>
                </c:pt>
                <c:pt idx="2931">
                  <c:v>0.60249710582101113</c:v>
                </c:pt>
                <c:pt idx="2932">
                  <c:v>0.59007417796616068</c:v>
                </c:pt>
                <c:pt idx="2933">
                  <c:v>0.6420390198457312</c:v>
                </c:pt>
                <c:pt idx="2934">
                  <c:v>0.61974292911667395</c:v>
                </c:pt>
                <c:pt idx="2935">
                  <c:v>0.63840278880215906</c:v>
                </c:pt>
                <c:pt idx="2936">
                  <c:v>0.63644657121718595</c:v>
                </c:pt>
                <c:pt idx="2937">
                  <c:v>0.61577577311985421</c:v>
                </c:pt>
                <c:pt idx="2938">
                  <c:v>0.58490447649373933</c:v>
                </c:pt>
                <c:pt idx="2939">
                  <c:v>0.59901951756711158</c:v>
                </c:pt>
                <c:pt idx="2940">
                  <c:v>0.57811877619136687</c:v>
                </c:pt>
                <c:pt idx="2941">
                  <c:v>0.58314252749017581</c:v>
                </c:pt>
                <c:pt idx="2942">
                  <c:v>0.58451598641012048</c:v>
                </c:pt>
                <c:pt idx="2943">
                  <c:v>0.56931607787412486</c:v>
                </c:pt>
                <c:pt idx="2944">
                  <c:v>0.56801646383100535</c:v>
                </c:pt>
                <c:pt idx="2945">
                  <c:v>0.56046295511839694</c:v>
                </c:pt>
                <c:pt idx="2946">
                  <c:v>0.54899160707398176</c:v>
                </c:pt>
                <c:pt idx="2947">
                  <c:v>0.54760636827698239</c:v>
                </c:pt>
                <c:pt idx="2948">
                  <c:v>0.53997739087733443</c:v>
                </c:pt>
                <c:pt idx="2949">
                  <c:v>0.54483321718237276</c:v>
                </c:pt>
                <c:pt idx="2950">
                  <c:v>0.54160619931926512</c:v>
                </c:pt>
                <c:pt idx="2951">
                  <c:v>0.54616767588604442</c:v>
                </c:pt>
                <c:pt idx="2952">
                  <c:v>0.55114222301966842</c:v>
                </c:pt>
                <c:pt idx="2953">
                  <c:v>0.54504299502122922</c:v>
                </c:pt>
                <c:pt idx="2954">
                  <c:v>0.54203925255093133</c:v>
                </c:pt>
                <c:pt idx="2955">
                  <c:v>0.56743187138930862</c:v>
                </c:pt>
                <c:pt idx="2956">
                  <c:v>0.56997740526885599</c:v>
                </c:pt>
                <c:pt idx="2957">
                  <c:v>0.54845182428455164</c:v>
                </c:pt>
                <c:pt idx="2958">
                  <c:v>0.5638679809318532</c:v>
                </c:pt>
                <c:pt idx="2959">
                  <c:v>0.55736028687544004</c:v>
                </c:pt>
                <c:pt idx="2960">
                  <c:v>0.52573756970381069</c:v>
                </c:pt>
                <c:pt idx="2961">
                  <c:v>0.54025537557840186</c:v>
                </c:pt>
                <c:pt idx="2962">
                  <c:v>0.53274648265740532</c:v>
                </c:pt>
                <c:pt idx="2963">
                  <c:v>0.56878879840736973</c:v>
                </c:pt>
                <c:pt idx="2964">
                  <c:v>0.5681196698719424</c:v>
                </c:pt>
                <c:pt idx="2965">
                  <c:v>0.58504823592857713</c:v>
                </c:pt>
                <c:pt idx="2966">
                  <c:v>0.60486028628710942</c:v>
                </c:pt>
                <c:pt idx="2967">
                  <c:v>0.59463051832604819</c:v>
                </c:pt>
                <c:pt idx="2968">
                  <c:v>0.6432395237808245</c:v>
                </c:pt>
                <c:pt idx="2969">
                  <c:v>0.63449137694495361</c:v>
                </c:pt>
                <c:pt idx="2970">
                  <c:v>0.62421658567034555</c:v>
                </c:pt>
                <c:pt idx="2971">
                  <c:v>0.6444322867357456</c:v>
                </c:pt>
                <c:pt idx="2972">
                  <c:v>0.64276308161207929</c:v>
                </c:pt>
                <c:pt idx="2973">
                  <c:v>0.65848513958179555</c:v>
                </c:pt>
                <c:pt idx="2974">
                  <c:v>0.63504279456038204</c:v>
                </c:pt>
                <c:pt idx="2975">
                  <c:v>0.65533468772493864</c:v>
                </c:pt>
                <c:pt idx="2976">
                  <c:v>0.68206136955801477</c:v>
                </c:pt>
                <c:pt idx="2977">
                  <c:v>0.64240327941324205</c:v>
                </c:pt>
                <c:pt idx="2978">
                  <c:v>0.64960216939989579</c:v>
                </c:pt>
                <c:pt idx="2979">
                  <c:v>0.61335822841044019</c:v>
                </c:pt>
                <c:pt idx="2980">
                  <c:v>0.62443113333042344</c:v>
                </c:pt>
                <c:pt idx="2981">
                  <c:v>0.62548057888389663</c:v>
                </c:pt>
                <c:pt idx="2982">
                  <c:v>0.63362335998205765</c:v>
                </c:pt>
                <c:pt idx="2983">
                  <c:v>0.62451620101106453</c:v>
                </c:pt>
                <c:pt idx="2984">
                  <c:v>0.61637309864086265</c:v>
                </c:pt>
                <c:pt idx="2985">
                  <c:v>0.576318770913686</c:v>
                </c:pt>
                <c:pt idx="2986">
                  <c:v>0.58898414963793155</c:v>
                </c:pt>
                <c:pt idx="2987">
                  <c:v>0.58965844829879321</c:v>
                </c:pt>
                <c:pt idx="2988">
                  <c:v>0.61597255446786525</c:v>
                </c:pt>
                <c:pt idx="2989">
                  <c:v>0.56262791533237677</c:v>
                </c:pt>
                <c:pt idx="2990">
                  <c:v>0.58067469979847108</c:v>
                </c:pt>
                <c:pt idx="2991">
                  <c:v>0.58435938473733962</c:v>
                </c:pt>
                <c:pt idx="2992">
                  <c:v>0.57543818511225597</c:v>
                </c:pt>
                <c:pt idx="2993">
                  <c:v>0.55296919830274549</c:v>
                </c:pt>
                <c:pt idx="2994">
                  <c:v>0.52130836700772654</c:v>
                </c:pt>
                <c:pt idx="2995">
                  <c:v>0.3713616047088909</c:v>
                </c:pt>
                <c:pt idx="2996">
                  <c:v>0.56263956669304238</c:v>
                </c:pt>
                <c:pt idx="2997">
                  <c:v>0.56630842214702803</c:v>
                </c:pt>
                <c:pt idx="2998">
                  <c:v>0.57455557884166575</c:v>
                </c:pt>
                <c:pt idx="2999">
                  <c:v>0.55930333847227953</c:v>
                </c:pt>
                <c:pt idx="3000">
                  <c:v>0.55736257340321971</c:v>
                </c:pt>
                <c:pt idx="3001">
                  <c:v>0.57577628473468045</c:v>
                </c:pt>
                <c:pt idx="3002">
                  <c:v>0.56317020441208288</c:v>
                </c:pt>
                <c:pt idx="3003">
                  <c:v>0.57950121341908833</c:v>
                </c:pt>
                <c:pt idx="3004">
                  <c:v>0.57708488904079225</c:v>
                </c:pt>
                <c:pt idx="3005">
                  <c:v>0.5805946266768629</c:v>
                </c:pt>
                <c:pt idx="3006">
                  <c:v>0.57191801123264341</c:v>
                </c:pt>
                <c:pt idx="3007">
                  <c:v>0.55819202889911701</c:v>
                </c:pt>
                <c:pt idx="3008">
                  <c:v>0.5490394517247299</c:v>
                </c:pt>
                <c:pt idx="3009">
                  <c:v>0.56690582977235204</c:v>
                </c:pt>
                <c:pt idx="3010">
                  <c:v>0.56976109019335686</c:v>
                </c:pt>
                <c:pt idx="3011">
                  <c:v>0.57674815230150889</c:v>
                </c:pt>
                <c:pt idx="3012">
                  <c:v>0.57267670656670999</c:v>
                </c:pt>
                <c:pt idx="3013">
                  <c:v>0.57282294455826521</c:v>
                </c:pt>
                <c:pt idx="3014">
                  <c:v>0.57995899330676359</c:v>
                </c:pt>
                <c:pt idx="3015">
                  <c:v>0.59363391720970793</c:v>
                </c:pt>
                <c:pt idx="3016">
                  <c:v>0.59753021042798415</c:v>
                </c:pt>
                <c:pt idx="3017">
                  <c:v>0.59908074163872937</c:v>
                </c:pt>
                <c:pt idx="3018">
                  <c:v>0.59637659397891007</c:v>
                </c:pt>
                <c:pt idx="3019">
                  <c:v>0.59001501968028325</c:v>
                </c:pt>
                <c:pt idx="3020">
                  <c:v>0.61517088289003019</c:v>
                </c:pt>
                <c:pt idx="3021">
                  <c:v>0.58401262491338535</c:v>
                </c:pt>
                <c:pt idx="3022">
                  <c:v>0.61108424464573263</c:v>
                </c:pt>
                <c:pt idx="3023">
                  <c:v>0.51871669490395445</c:v>
                </c:pt>
                <c:pt idx="3024">
                  <c:v>0.6942328621595536</c:v>
                </c:pt>
                <c:pt idx="3025">
                  <c:v>0.68233112402846441</c:v>
                </c:pt>
                <c:pt idx="3026">
                  <c:v>0.63279700231214553</c:v>
                </c:pt>
                <c:pt idx="3027">
                  <c:v>0.63534901420350764</c:v>
                </c:pt>
                <c:pt idx="3028">
                  <c:v>0.6266755585053474</c:v>
                </c:pt>
                <c:pt idx="3029">
                  <c:v>0.64449274980145865</c:v>
                </c:pt>
                <c:pt idx="3030">
                  <c:v>0.63600147501018622</c:v>
                </c:pt>
                <c:pt idx="3031">
                  <c:v>0.63089019824919557</c:v>
                </c:pt>
                <c:pt idx="3032">
                  <c:v>0.64784186683919531</c:v>
                </c:pt>
                <c:pt idx="3033">
                  <c:v>0.60912026799271135</c:v>
                </c:pt>
                <c:pt idx="3034">
                  <c:v>0.58556404546397911</c:v>
                </c:pt>
                <c:pt idx="3035">
                  <c:v>0.60792991381243122</c:v>
                </c:pt>
                <c:pt idx="3036">
                  <c:v>0.588196385242167</c:v>
                </c:pt>
                <c:pt idx="3037">
                  <c:v>0.61788753505097893</c:v>
                </c:pt>
                <c:pt idx="3038">
                  <c:v>0.56275368594514241</c:v>
                </c:pt>
                <c:pt idx="3039">
                  <c:v>0.57554945240601041</c:v>
                </c:pt>
                <c:pt idx="3040">
                  <c:v>0.57230269878791129</c:v>
                </c:pt>
                <c:pt idx="3041">
                  <c:v>0.55856518169741487</c:v>
                </c:pt>
                <c:pt idx="3042">
                  <c:v>0.54047325627842413</c:v>
                </c:pt>
                <c:pt idx="3043">
                  <c:v>0.34387218460831398</c:v>
                </c:pt>
                <c:pt idx="3044">
                  <c:v>0.53917336484314871</c:v>
                </c:pt>
                <c:pt idx="3045">
                  <c:v>0.53806726436217234</c:v>
                </c:pt>
                <c:pt idx="3046">
                  <c:v>0.53409530828874607</c:v>
                </c:pt>
                <c:pt idx="3047">
                  <c:v>0.54819538583112637</c:v>
                </c:pt>
                <c:pt idx="3048">
                  <c:v>0.54025625182538883</c:v>
                </c:pt>
                <c:pt idx="3049">
                  <c:v>0.5550974729026209</c:v>
                </c:pt>
                <c:pt idx="3050">
                  <c:v>0.54379820162082437</c:v>
                </c:pt>
                <c:pt idx="3051">
                  <c:v>0.55250772864170694</c:v>
                </c:pt>
                <c:pt idx="3052">
                  <c:v>0.55029184104421414</c:v>
                </c:pt>
                <c:pt idx="3053">
                  <c:v>0.5565771051925934</c:v>
                </c:pt>
                <c:pt idx="3054">
                  <c:v>0.55601118450691212</c:v>
                </c:pt>
                <c:pt idx="3055">
                  <c:v>0.54226857586800725</c:v>
                </c:pt>
                <c:pt idx="3056">
                  <c:v>0.52422730519365512</c:v>
                </c:pt>
                <c:pt idx="3057">
                  <c:v>0.52458005782031447</c:v>
                </c:pt>
                <c:pt idx="3058">
                  <c:v>0.53762217026848225</c:v>
                </c:pt>
                <c:pt idx="3059">
                  <c:v>0.55709906210023918</c:v>
                </c:pt>
                <c:pt idx="3060">
                  <c:v>0.56111975725769747</c:v>
                </c:pt>
                <c:pt idx="3061">
                  <c:v>0.55440786603664072</c:v>
                </c:pt>
                <c:pt idx="3062">
                  <c:v>0.59477076332693946</c:v>
                </c:pt>
                <c:pt idx="3063">
                  <c:v>0.6006166063349021</c:v>
                </c:pt>
                <c:pt idx="3064">
                  <c:v>0.61339154956000796</c:v>
                </c:pt>
                <c:pt idx="3065">
                  <c:v>0.60104026597089222</c:v>
                </c:pt>
                <c:pt idx="3066">
                  <c:v>0.61168805333244025</c:v>
                </c:pt>
                <c:pt idx="3067">
                  <c:v>0.61610323700051006</c:v>
                </c:pt>
                <c:pt idx="3068">
                  <c:v>0.6049157309083989</c:v>
                </c:pt>
                <c:pt idx="3069">
                  <c:v>0.62138953241797223</c:v>
                </c:pt>
                <c:pt idx="3070">
                  <c:v>0.59539458061472617</c:v>
                </c:pt>
                <c:pt idx="3071">
                  <c:v>0.62343248266575613</c:v>
                </c:pt>
                <c:pt idx="3072">
                  <c:v>0.59141212624889505</c:v>
                </c:pt>
                <c:pt idx="3073">
                  <c:v>0.63519995526365747</c:v>
                </c:pt>
                <c:pt idx="3074">
                  <c:v>0.59081320026097017</c:v>
                </c:pt>
                <c:pt idx="3075">
                  <c:v>0.61116271709205916</c:v>
                </c:pt>
                <c:pt idx="3076">
                  <c:v>0.5832787085466038</c:v>
                </c:pt>
                <c:pt idx="3077">
                  <c:v>0.59985219023745406</c:v>
                </c:pt>
                <c:pt idx="3078">
                  <c:v>0.59111460369273983</c:v>
                </c:pt>
                <c:pt idx="3079">
                  <c:v>0.59462742579996986</c:v>
                </c:pt>
                <c:pt idx="3080">
                  <c:v>0.58327145268142222</c:v>
                </c:pt>
                <c:pt idx="3081">
                  <c:v>0.58397063291028406</c:v>
                </c:pt>
                <c:pt idx="3082">
                  <c:v>0.56598681786741012</c:v>
                </c:pt>
                <c:pt idx="3083">
                  <c:v>0.57350713452577073</c:v>
                </c:pt>
                <c:pt idx="3084">
                  <c:v>0.54248656998953826</c:v>
                </c:pt>
                <c:pt idx="3085">
                  <c:v>0.56689193768725799</c:v>
                </c:pt>
                <c:pt idx="3086">
                  <c:v>0.56609958927436177</c:v>
                </c:pt>
                <c:pt idx="3087">
                  <c:v>0.55799283483072537</c:v>
                </c:pt>
                <c:pt idx="3088">
                  <c:v>0.56337724574869463</c:v>
                </c:pt>
                <c:pt idx="3089">
                  <c:v>0.55394076698786554</c:v>
                </c:pt>
                <c:pt idx="3090">
                  <c:v>0.55291898829719133</c:v>
                </c:pt>
                <c:pt idx="3091">
                  <c:v>0.56440008099227124</c:v>
                </c:pt>
                <c:pt idx="3092">
                  <c:v>0.55324859056914921</c:v>
                </c:pt>
                <c:pt idx="3093">
                  <c:v>0.57116754767271838</c:v>
                </c:pt>
                <c:pt idx="3094">
                  <c:v>0.54412350641824769</c:v>
                </c:pt>
                <c:pt idx="3095">
                  <c:v>0.57263267452429778</c:v>
                </c:pt>
                <c:pt idx="3096">
                  <c:v>0.56208816238346493</c:v>
                </c:pt>
                <c:pt idx="3097">
                  <c:v>0.55915091765277491</c:v>
                </c:pt>
                <c:pt idx="3098">
                  <c:v>0.57059512213214247</c:v>
                </c:pt>
                <c:pt idx="3099">
                  <c:v>0.55716167405841699</c:v>
                </c:pt>
                <c:pt idx="3100">
                  <c:v>0.55944696291008655</c:v>
                </c:pt>
                <c:pt idx="3101">
                  <c:v>0.56873721928138476</c:v>
                </c:pt>
                <c:pt idx="3102">
                  <c:v>0.57143640997924816</c:v>
                </c:pt>
                <c:pt idx="3103">
                  <c:v>0.56784851079501253</c:v>
                </c:pt>
                <c:pt idx="3104">
                  <c:v>0.56689546961542603</c:v>
                </c:pt>
                <c:pt idx="3105">
                  <c:v>0.5632456007293849</c:v>
                </c:pt>
                <c:pt idx="3106">
                  <c:v>0.61928339726340043</c:v>
                </c:pt>
                <c:pt idx="3107">
                  <c:v>0.54189873219761775</c:v>
                </c:pt>
                <c:pt idx="3108">
                  <c:v>0.54314623837277365</c:v>
                </c:pt>
                <c:pt idx="3109">
                  <c:v>0.5752326581099404</c:v>
                </c:pt>
                <c:pt idx="3110">
                  <c:v>0.57191289062456718</c:v>
                </c:pt>
                <c:pt idx="3111">
                  <c:v>0.57467146685256343</c:v>
                </c:pt>
                <c:pt idx="3112">
                  <c:v>0.56663344031034824</c:v>
                </c:pt>
                <c:pt idx="3113">
                  <c:v>0.57477784378982755</c:v>
                </c:pt>
                <c:pt idx="3114">
                  <c:v>0.57945821104391926</c:v>
                </c:pt>
                <c:pt idx="3115">
                  <c:v>0.52758775808616376</c:v>
                </c:pt>
                <c:pt idx="3116">
                  <c:v>0.59785330174579399</c:v>
                </c:pt>
                <c:pt idx="3117">
                  <c:v>0.59259996048306252</c:v>
                </c:pt>
                <c:pt idx="3118">
                  <c:v>0.5772057376655555</c:v>
                </c:pt>
                <c:pt idx="3119">
                  <c:v>0.59269371542764582</c:v>
                </c:pt>
                <c:pt idx="3120">
                  <c:v>0.62799829813748786</c:v>
                </c:pt>
                <c:pt idx="3121">
                  <c:v>0.61224414894352741</c:v>
                </c:pt>
                <c:pt idx="3122">
                  <c:v>0.60294895029362083</c:v>
                </c:pt>
                <c:pt idx="3123">
                  <c:v>0.6192719183880836</c:v>
                </c:pt>
                <c:pt idx="3124">
                  <c:v>0.60930513894249194</c:v>
                </c:pt>
                <c:pt idx="3125">
                  <c:v>0.5986039498001825</c:v>
                </c:pt>
                <c:pt idx="3126">
                  <c:v>0.60344004706717302</c:v>
                </c:pt>
                <c:pt idx="3127">
                  <c:v>0.59867540894470483</c:v>
                </c:pt>
                <c:pt idx="3128">
                  <c:v>0.58707577992046889</c:v>
                </c:pt>
                <c:pt idx="3129">
                  <c:v>0.56413405321285126</c:v>
                </c:pt>
                <c:pt idx="3130">
                  <c:v>0.57689360122339139</c:v>
                </c:pt>
                <c:pt idx="3131">
                  <c:v>0.5543240119049635</c:v>
                </c:pt>
                <c:pt idx="3132">
                  <c:v>0.54784310445793472</c:v>
                </c:pt>
                <c:pt idx="3133">
                  <c:v>0.56789338292934688</c:v>
                </c:pt>
                <c:pt idx="3134">
                  <c:v>0.56626562607477715</c:v>
                </c:pt>
                <c:pt idx="3135">
                  <c:v>0.55778308975375435</c:v>
                </c:pt>
                <c:pt idx="3136">
                  <c:v>0.5634465540505279</c:v>
                </c:pt>
                <c:pt idx="3137">
                  <c:v>0.53319456355785688</c:v>
                </c:pt>
                <c:pt idx="3138">
                  <c:v>0.54480881495208366</c:v>
                </c:pt>
                <c:pt idx="3139">
                  <c:v>0.5314597565689223</c:v>
                </c:pt>
                <c:pt idx="3140">
                  <c:v>0.54384302152270458</c:v>
                </c:pt>
                <c:pt idx="3141">
                  <c:v>0.54223916942865913</c:v>
                </c:pt>
                <c:pt idx="3142">
                  <c:v>0.54248507554523251</c:v>
                </c:pt>
                <c:pt idx="3143">
                  <c:v>0.53696187125691752</c:v>
                </c:pt>
                <c:pt idx="3144">
                  <c:v>0.53970323894782557</c:v>
                </c:pt>
                <c:pt idx="3145">
                  <c:v>0.54509424763647318</c:v>
                </c:pt>
                <c:pt idx="3146">
                  <c:v>0.53760113785416497</c:v>
                </c:pt>
                <c:pt idx="3147">
                  <c:v>0.5420994616438809</c:v>
                </c:pt>
                <c:pt idx="3148">
                  <c:v>0.54421902849768877</c:v>
                </c:pt>
                <c:pt idx="3149">
                  <c:v>0.53931464419550768</c:v>
                </c:pt>
                <c:pt idx="3150">
                  <c:v>0.55027887508000395</c:v>
                </c:pt>
                <c:pt idx="3151">
                  <c:v>0.54266474561180378</c:v>
                </c:pt>
                <c:pt idx="3152">
                  <c:v>0.53378260431928315</c:v>
                </c:pt>
                <c:pt idx="3153">
                  <c:v>0.57694145983673228</c:v>
                </c:pt>
                <c:pt idx="3154">
                  <c:v>0.5554741390089768</c:v>
                </c:pt>
                <c:pt idx="3155">
                  <c:v>0.528379796418876</c:v>
                </c:pt>
                <c:pt idx="3156">
                  <c:v>0.55914192890588688</c:v>
                </c:pt>
                <c:pt idx="3157">
                  <c:v>0.55694514280704421</c:v>
                </c:pt>
                <c:pt idx="3158">
                  <c:v>0.56805380400155459</c:v>
                </c:pt>
                <c:pt idx="3159">
                  <c:v>0.58265005982118567</c:v>
                </c:pt>
                <c:pt idx="3160">
                  <c:v>0.58601773554637537</c:v>
                </c:pt>
                <c:pt idx="3161">
                  <c:v>0.58303545761115849</c:v>
                </c:pt>
                <c:pt idx="3162">
                  <c:v>0.54232202569482946</c:v>
                </c:pt>
                <c:pt idx="3163">
                  <c:v>0.59196577899142977</c:v>
                </c:pt>
                <c:pt idx="3164">
                  <c:v>0.60614727750804342</c:v>
                </c:pt>
                <c:pt idx="3165">
                  <c:v>0.57581008022479052</c:v>
                </c:pt>
                <c:pt idx="3166">
                  <c:v>0.58419706998909871</c:v>
                </c:pt>
                <c:pt idx="3167">
                  <c:v>0.60551546094748421</c:v>
                </c:pt>
                <c:pt idx="3168">
                  <c:v>0.59282349656189193</c:v>
                </c:pt>
                <c:pt idx="3169">
                  <c:v>0.58482777780170325</c:v>
                </c:pt>
                <c:pt idx="3170">
                  <c:v>0.60263906251342625</c:v>
                </c:pt>
                <c:pt idx="3171">
                  <c:v>0.58278957336668991</c:v>
                </c:pt>
                <c:pt idx="3172">
                  <c:v>0.59050132943729938</c:v>
                </c:pt>
                <c:pt idx="3173">
                  <c:v>0.57286045439156041</c:v>
                </c:pt>
                <c:pt idx="3174">
                  <c:v>0.56765075974952028</c:v>
                </c:pt>
                <c:pt idx="3175">
                  <c:v>0.55980791052678802</c:v>
                </c:pt>
                <c:pt idx="3176">
                  <c:v>0.57044229331637442</c:v>
                </c:pt>
                <c:pt idx="3177">
                  <c:v>0.55513473085006826</c:v>
                </c:pt>
                <c:pt idx="3178">
                  <c:v>0.55696706578741195</c:v>
                </c:pt>
                <c:pt idx="3179">
                  <c:v>0.54307610055565037</c:v>
                </c:pt>
                <c:pt idx="3180">
                  <c:v>0.55549807014949892</c:v>
                </c:pt>
                <c:pt idx="3181">
                  <c:v>0.53911801999399844</c:v>
                </c:pt>
                <c:pt idx="3182">
                  <c:v>0.55690864220337277</c:v>
                </c:pt>
                <c:pt idx="3183">
                  <c:v>0.55537199381139302</c:v>
                </c:pt>
                <c:pt idx="3184">
                  <c:v>0.55346927937208368</c:v>
                </c:pt>
                <c:pt idx="3185">
                  <c:v>0.53814601462364153</c:v>
                </c:pt>
                <c:pt idx="3186">
                  <c:v>0.53631016727231673</c:v>
                </c:pt>
                <c:pt idx="3187">
                  <c:v>0.55293552298365189</c:v>
                </c:pt>
                <c:pt idx="3188">
                  <c:v>0.53040962051528384</c:v>
                </c:pt>
                <c:pt idx="3189">
                  <c:v>0.5539004951208778</c:v>
                </c:pt>
                <c:pt idx="3190">
                  <c:v>0.54365166661617847</c:v>
                </c:pt>
                <c:pt idx="3191">
                  <c:v>0.55189723731653972</c:v>
                </c:pt>
                <c:pt idx="3192">
                  <c:v>0.55945917897725894</c:v>
                </c:pt>
                <c:pt idx="3193">
                  <c:v>0.55674911181702869</c:v>
                </c:pt>
                <c:pt idx="3194">
                  <c:v>0.57009159955431077</c:v>
                </c:pt>
                <c:pt idx="3195">
                  <c:v>0.55885251169845729</c:v>
                </c:pt>
                <c:pt idx="3196">
                  <c:v>0.56612011146460117</c:v>
                </c:pt>
                <c:pt idx="3197">
                  <c:v>0.57083190639703685</c:v>
                </c:pt>
                <c:pt idx="3198">
                  <c:v>0.58840550496826782</c:v>
                </c:pt>
                <c:pt idx="3199">
                  <c:v>0.58240373001645696</c:v>
                </c:pt>
                <c:pt idx="3200">
                  <c:v>0.56956572941857209</c:v>
                </c:pt>
                <c:pt idx="3201">
                  <c:v>0.54103353719230374</c:v>
                </c:pt>
                <c:pt idx="3202">
                  <c:v>0.55803993841891841</c:v>
                </c:pt>
                <c:pt idx="3203">
                  <c:v>0.5540556183357439</c:v>
                </c:pt>
                <c:pt idx="3204">
                  <c:v>0.56185156370746703</c:v>
                </c:pt>
                <c:pt idx="3205">
                  <c:v>0.58513832952404432</c:v>
                </c:pt>
                <c:pt idx="3206">
                  <c:v>0.59637945406848669</c:v>
                </c:pt>
                <c:pt idx="3207">
                  <c:v>0.58473637684221635</c:v>
                </c:pt>
                <c:pt idx="3208">
                  <c:v>0.60067074368880558</c:v>
                </c:pt>
                <c:pt idx="3209">
                  <c:v>0.58981370953163437</c:v>
                </c:pt>
                <c:pt idx="3210">
                  <c:v>0.60940186845618816</c:v>
                </c:pt>
                <c:pt idx="3211">
                  <c:v>0.60742435343500079</c:v>
                </c:pt>
                <c:pt idx="3212">
                  <c:v>0.62089098752574035</c:v>
                </c:pt>
                <c:pt idx="3213">
                  <c:v>0.59316229761617623</c:v>
                </c:pt>
                <c:pt idx="3214">
                  <c:v>0.60665690418185814</c:v>
                </c:pt>
                <c:pt idx="3215">
                  <c:v>0.57594546649786049</c:v>
                </c:pt>
                <c:pt idx="3216">
                  <c:v>0.6106485604597639</c:v>
                </c:pt>
                <c:pt idx="3217">
                  <c:v>0.59547263260141237</c:v>
                </c:pt>
                <c:pt idx="3218">
                  <c:v>0.58727353257370618</c:v>
                </c:pt>
                <c:pt idx="3219">
                  <c:v>0.60031082691501447</c:v>
                </c:pt>
                <c:pt idx="3220">
                  <c:v>0.58135381491112204</c:v>
                </c:pt>
                <c:pt idx="3221">
                  <c:v>0.59867617490553182</c:v>
                </c:pt>
                <c:pt idx="3222">
                  <c:v>0.59219319585287022</c:v>
                </c:pt>
                <c:pt idx="3223">
                  <c:v>0.58855606260671178</c:v>
                </c:pt>
                <c:pt idx="3224">
                  <c:v>0.5993100365417956</c:v>
                </c:pt>
                <c:pt idx="3225">
                  <c:v>0.59871720654670735</c:v>
                </c:pt>
                <c:pt idx="3226">
                  <c:v>0.58136406358990311</c:v>
                </c:pt>
                <c:pt idx="3227">
                  <c:v>0.56411651760837289</c:v>
                </c:pt>
                <c:pt idx="3228">
                  <c:v>0.56376304793737875</c:v>
                </c:pt>
                <c:pt idx="3229">
                  <c:v>0.56285078256974552</c:v>
                </c:pt>
                <c:pt idx="3230">
                  <c:v>0.55669668534065442</c:v>
                </c:pt>
                <c:pt idx="3231">
                  <c:v>0.54968091946587316</c:v>
                </c:pt>
                <c:pt idx="3232">
                  <c:v>0.55781927650738572</c:v>
                </c:pt>
                <c:pt idx="3233">
                  <c:v>0.54264059470894876</c:v>
                </c:pt>
                <c:pt idx="3234">
                  <c:v>0.53723725441444492</c:v>
                </c:pt>
                <c:pt idx="3235">
                  <c:v>0.53855639184067916</c:v>
                </c:pt>
                <c:pt idx="3236">
                  <c:v>0.54331892311770169</c:v>
                </c:pt>
                <c:pt idx="3237">
                  <c:v>0.5050798069489898</c:v>
                </c:pt>
                <c:pt idx="3238">
                  <c:v>0.53263222445173719</c:v>
                </c:pt>
                <c:pt idx="3239">
                  <c:v>0.5320006510415437</c:v>
                </c:pt>
                <c:pt idx="3240">
                  <c:v>0.53778623850874874</c:v>
                </c:pt>
                <c:pt idx="3241">
                  <c:v>0.53365603619967905</c:v>
                </c:pt>
                <c:pt idx="3242">
                  <c:v>0.53954490881154848</c:v>
                </c:pt>
                <c:pt idx="3243">
                  <c:v>0.54236512962120675</c:v>
                </c:pt>
                <c:pt idx="3244">
                  <c:v>0.53733266470762509</c:v>
                </c:pt>
                <c:pt idx="3245">
                  <c:v>0.54135367672059542</c:v>
                </c:pt>
                <c:pt idx="3246">
                  <c:v>0.53948108406530337</c:v>
                </c:pt>
                <c:pt idx="3247">
                  <c:v>0.54486727891667908</c:v>
                </c:pt>
                <c:pt idx="3248">
                  <c:v>0.55071950084365939</c:v>
                </c:pt>
                <c:pt idx="3249">
                  <c:v>0.54288627369985898</c:v>
                </c:pt>
                <c:pt idx="3250">
                  <c:v>0.53268012229766104</c:v>
                </c:pt>
                <c:pt idx="3251">
                  <c:v>0.55495881622731547</c:v>
                </c:pt>
                <c:pt idx="3252">
                  <c:v>0.54426752582343962</c:v>
                </c:pt>
                <c:pt idx="3253">
                  <c:v>0.55519859418166961</c:v>
                </c:pt>
                <c:pt idx="3254">
                  <c:v>0.59081654290934826</c:v>
                </c:pt>
                <c:pt idx="3255">
                  <c:v>0.60073478480204467</c:v>
                </c:pt>
                <c:pt idx="3256">
                  <c:v>0.61045648657622953</c:v>
                </c:pt>
                <c:pt idx="3257">
                  <c:v>0.60642468489956902</c:v>
                </c:pt>
                <c:pt idx="3258">
                  <c:v>0.61070720911047272</c:v>
                </c:pt>
                <c:pt idx="3259">
                  <c:v>0.6224484165325932</c:v>
                </c:pt>
                <c:pt idx="3260">
                  <c:v>0.63913702054757204</c:v>
                </c:pt>
                <c:pt idx="3261">
                  <c:v>0.62025893147134281</c:v>
                </c:pt>
                <c:pt idx="3262">
                  <c:v>0.61873290460314312</c:v>
                </c:pt>
                <c:pt idx="3263">
                  <c:v>0.60273598717747023</c:v>
                </c:pt>
                <c:pt idx="3264">
                  <c:v>0.62081175784437381</c:v>
                </c:pt>
                <c:pt idx="3265">
                  <c:v>0.6115148178563804</c:v>
                </c:pt>
                <c:pt idx="3266">
                  <c:v>0.59989256534177071</c:v>
                </c:pt>
                <c:pt idx="3267">
                  <c:v>0.60313516677923185</c:v>
                </c:pt>
                <c:pt idx="3268">
                  <c:v>0.59619493970739312</c:v>
                </c:pt>
                <c:pt idx="3269">
                  <c:v>0.60207388852902932</c:v>
                </c:pt>
                <c:pt idx="3270">
                  <c:v>0.59465768743000058</c:v>
                </c:pt>
                <c:pt idx="3271">
                  <c:v>0.59565998830508204</c:v>
                </c:pt>
                <c:pt idx="3272">
                  <c:v>0.58136611329663723</c:v>
                </c:pt>
                <c:pt idx="3273">
                  <c:v>0.59252671768835041</c:v>
                </c:pt>
                <c:pt idx="3274">
                  <c:v>0.59276360239597903</c:v>
                </c:pt>
                <c:pt idx="3275">
                  <c:v>0.58976389794607542</c:v>
                </c:pt>
                <c:pt idx="3276">
                  <c:v>0.59704105842515154</c:v>
                </c:pt>
                <c:pt idx="3277">
                  <c:v>0.58264097683235871</c:v>
                </c:pt>
                <c:pt idx="3278">
                  <c:v>0.56146477423642027</c:v>
                </c:pt>
                <c:pt idx="3279">
                  <c:v>0.58643595030131812</c:v>
                </c:pt>
                <c:pt idx="3280">
                  <c:v>0.56970459667820939</c:v>
                </c:pt>
                <c:pt idx="3281">
                  <c:v>0.59102418235108301</c:v>
                </c:pt>
                <c:pt idx="3282">
                  <c:v>0.55943546512119724</c:v>
                </c:pt>
                <c:pt idx="3283">
                  <c:v>0.56442695897363282</c:v>
                </c:pt>
                <c:pt idx="3284">
                  <c:v>0.55542337161784827</c:v>
                </c:pt>
                <c:pt idx="3285">
                  <c:v>0.56998745837645159</c:v>
                </c:pt>
                <c:pt idx="3286">
                  <c:v>0.56674957707312923</c:v>
                </c:pt>
                <c:pt idx="3287">
                  <c:v>0.58304555325015472</c:v>
                </c:pt>
                <c:pt idx="3288">
                  <c:v>0.56849459800246527</c:v>
                </c:pt>
                <c:pt idx="3289">
                  <c:v>0.5651717760239382</c:v>
                </c:pt>
                <c:pt idx="3290">
                  <c:v>0.55278328282248168</c:v>
                </c:pt>
                <c:pt idx="3291">
                  <c:v>0.56581430117558107</c:v>
                </c:pt>
                <c:pt idx="3292">
                  <c:v>0.56020777500895957</c:v>
                </c:pt>
                <c:pt idx="3293">
                  <c:v>0.5854980659486092</c:v>
                </c:pt>
                <c:pt idx="3294">
                  <c:v>0.5769053362752814</c:v>
                </c:pt>
                <c:pt idx="3295">
                  <c:v>0.57553029430203462</c:v>
                </c:pt>
                <c:pt idx="3296">
                  <c:v>0.57764526939177507</c:v>
                </c:pt>
                <c:pt idx="3297">
                  <c:v>0.57534213066464313</c:v>
                </c:pt>
                <c:pt idx="3298">
                  <c:v>0.57535737149016963</c:v>
                </c:pt>
                <c:pt idx="3299">
                  <c:v>0.57974965174786175</c:v>
                </c:pt>
                <c:pt idx="3300">
                  <c:v>0.58107974387117345</c:v>
                </c:pt>
                <c:pt idx="3301">
                  <c:v>0.58558276603077408</c:v>
                </c:pt>
                <c:pt idx="3302">
                  <c:v>0.5784179957622928</c:v>
                </c:pt>
                <c:pt idx="3303">
                  <c:v>0.58996846872240649</c:v>
                </c:pt>
                <c:pt idx="3304">
                  <c:v>0.60683273223586653</c:v>
                </c:pt>
                <c:pt idx="3305">
                  <c:v>0.60352499864401365</c:v>
                </c:pt>
                <c:pt idx="3306">
                  <c:v>0.58854049396108876</c:v>
                </c:pt>
                <c:pt idx="3307">
                  <c:v>0.61514812780005601</c:v>
                </c:pt>
                <c:pt idx="3308">
                  <c:v>0.62060051203832256</c:v>
                </c:pt>
                <c:pt idx="3309">
                  <c:v>0.59718349188054953</c:v>
                </c:pt>
                <c:pt idx="3310">
                  <c:v>0.58526384232201467</c:v>
                </c:pt>
                <c:pt idx="3311">
                  <c:v>0.60864507385194078</c:v>
                </c:pt>
                <c:pt idx="3312">
                  <c:v>0.62941286139643349</c:v>
                </c:pt>
                <c:pt idx="3313">
                  <c:v>0.61322555314801142</c:v>
                </c:pt>
                <c:pt idx="3314">
                  <c:v>0.63009271856200677</c:v>
                </c:pt>
                <c:pt idx="3315">
                  <c:v>0.61587454304952882</c:v>
                </c:pt>
                <c:pt idx="3316">
                  <c:v>0.60691992170087261</c:v>
                </c:pt>
                <c:pt idx="3317">
                  <c:v>0.61173870448255896</c:v>
                </c:pt>
                <c:pt idx="3318">
                  <c:v>0.59857593198051773</c:v>
                </c:pt>
                <c:pt idx="3319">
                  <c:v>0.58925406184130003</c:v>
                </c:pt>
                <c:pt idx="3320">
                  <c:v>0.5900783075833278</c:v>
                </c:pt>
                <c:pt idx="3321">
                  <c:v>0.58831238852318612</c:v>
                </c:pt>
                <c:pt idx="3322">
                  <c:v>0.59467447399430706</c:v>
                </c:pt>
                <c:pt idx="3323">
                  <c:v>0.57723367409376514</c:v>
                </c:pt>
                <c:pt idx="3324">
                  <c:v>0.59492707760236629</c:v>
                </c:pt>
                <c:pt idx="3325">
                  <c:v>0.58411594643707887</c:v>
                </c:pt>
                <c:pt idx="3326">
                  <c:v>0.56961779522024014</c:v>
                </c:pt>
                <c:pt idx="3327">
                  <c:v>0.572875782555053</c:v>
                </c:pt>
                <c:pt idx="3328">
                  <c:v>0.58210451661687779</c:v>
                </c:pt>
                <c:pt idx="3329">
                  <c:v>0.57794676639963416</c:v>
                </c:pt>
                <c:pt idx="3330">
                  <c:v>0.56430640947633171</c:v>
                </c:pt>
                <c:pt idx="3331">
                  <c:v>0.55836303703183121</c:v>
                </c:pt>
                <c:pt idx="3332">
                  <c:v>0.56881751594761765</c:v>
                </c:pt>
                <c:pt idx="3333">
                  <c:v>0.55052516222993109</c:v>
                </c:pt>
                <c:pt idx="3334">
                  <c:v>0.55261602464775905</c:v>
                </c:pt>
                <c:pt idx="3335">
                  <c:v>0.56209030511411873</c:v>
                </c:pt>
                <c:pt idx="3336">
                  <c:v>0.56516314743639506</c:v>
                </c:pt>
                <c:pt idx="3337">
                  <c:v>0.55214894213686772</c:v>
                </c:pt>
                <c:pt idx="3338">
                  <c:v>0.53865854866542096</c:v>
                </c:pt>
                <c:pt idx="3339">
                  <c:v>0.54085694104237847</c:v>
                </c:pt>
                <c:pt idx="3340">
                  <c:v>0.54419235886235218</c:v>
                </c:pt>
                <c:pt idx="3341">
                  <c:v>0.54589530454584023</c:v>
                </c:pt>
                <c:pt idx="3342">
                  <c:v>0.56376411518019254</c:v>
                </c:pt>
                <c:pt idx="3343">
                  <c:v>0.54665800763141936</c:v>
                </c:pt>
                <c:pt idx="3344">
                  <c:v>0.55820476075698466</c:v>
                </c:pt>
                <c:pt idx="3345">
                  <c:v>0.55067575168439753</c:v>
                </c:pt>
                <c:pt idx="3346">
                  <c:v>0.55659060782601932</c:v>
                </c:pt>
                <c:pt idx="3347">
                  <c:v>0.5529333346054125</c:v>
                </c:pt>
                <c:pt idx="3348">
                  <c:v>0.57374685649946289</c:v>
                </c:pt>
                <c:pt idx="3349">
                  <c:v>0.5560428115510373</c:v>
                </c:pt>
                <c:pt idx="3350">
                  <c:v>0.55876723231746606</c:v>
                </c:pt>
                <c:pt idx="3351">
                  <c:v>0.5753355492337261</c:v>
                </c:pt>
                <c:pt idx="3352">
                  <c:v>0.57979833952135063</c:v>
                </c:pt>
                <c:pt idx="3353">
                  <c:v>0.60545858466392843</c:v>
                </c:pt>
                <c:pt idx="3354">
                  <c:v>0.60381868400254379</c:v>
                </c:pt>
                <c:pt idx="3355">
                  <c:v>0.59720984298882562</c:v>
                </c:pt>
                <c:pt idx="3356">
                  <c:v>0.64076567265873419</c:v>
                </c:pt>
                <c:pt idx="3357">
                  <c:v>0.62428663475665347</c:v>
                </c:pt>
                <c:pt idx="3358">
                  <c:v>0.59775243006166434</c:v>
                </c:pt>
                <c:pt idx="3359">
                  <c:v>0.61503559899700544</c:v>
                </c:pt>
                <c:pt idx="3360">
                  <c:v>0.62503459887446278</c:v>
                </c:pt>
                <c:pt idx="3361">
                  <c:v>0.61512094654661309</c:v>
                </c:pt>
                <c:pt idx="3362">
                  <c:v>0.60954713577884623</c:v>
                </c:pt>
                <c:pt idx="3363">
                  <c:v>0.62210030377194014</c:v>
                </c:pt>
                <c:pt idx="3364">
                  <c:v>0.59663106822043765</c:v>
                </c:pt>
                <c:pt idx="3365">
                  <c:v>0.62649085565138607</c:v>
                </c:pt>
                <c:pt idx="3366">
                  <c:v>0.59536624471402766</c:v>
                </c:pt>
                <c:pt idx="3367">
                  <c:v>0.61141388244312789</c:v>
                </c:pt>
                <c:pt idx="3368">
                  <c:v>0.59919966659521617</c:v>
                </c:pt>
                <c:pt idx="3369">
                  <c:v>0.61489816473363645</c:v>
                </c:pt>
                <c:pt idx="3370">
                  <c:v>0.60508062064275014</c:v>
                </c:pt>
                <c:pt idx="3371">
                  <c:v>0.61205819086323221</c:v>
                </c:pt>
                <c:pt idx="3372">
                  <c:v>0.60455899256881518</c:v>
                </c:pt>
                <c:pt idx="3373">
                  <c:v>0.58832662060814678</c:v>
                </c:pt>
                <c:pt idx="3374">
                  <c:v>0.58586978884958807</c:v>
                </c:pt>
                <c:pt idx="3375">
                  <c:v>0.5885821584371459</c:v>
                </c:pt>
                <c:pt idx="3376">
                  <c:v>0.5834285604038193</c:v>
                </c:pt>
                <c:pt idx="3377">
                  <c:v>0.60035486544665639</c:v>
                </c:pt>
                <c:pt idx="3378">
                  <c:v>0.59700217487084106</c:v>
                </c:pt>
                <c:pt idx="3379">
                  <c:v>0.59714440145822711</c:v>
                </c:pt>
                <c:pt idx="3380">
                  <c:v>0.58586449203185553</c:v>
                </c:pt>
                <c:pt idx="3381">
                  <c:v>0.59131764902728357</c:v>
                </c:pt>
                <c:pt idx="3382">
                  <c:v>0.58240668362171477</c:v>
                </c:pt>
                <c:pt idx="3383">
                  <c:v>0.59369391284859718</c:v>
                </c:pt>
                <c:pt idx="3384">
                  <c:v>0.60136184496738498</c:v>
                </c:pt>
                <c:pt idx="3385">
                  <c:v>0.5691488610208153</c:v>
                </c:pt>
                <c:pt idx="3386">
                  <c:v>0.58340895338085486</c:v>
                </c:pt>
                <c:pt idx="3387">
                  <c:v>0.58669136536336441</c:v>
                </c:pt>
                <c:pt idx="3388">
                  <c:v>0.58222397669084192</c:v>
                </c:pt>
                <c:pt idx="3389">
                  <c:v>0.56934710193152371</c:v>
                </c:pt>
                <c:pt idx="3390">
                  <c:v>0.56335445704148723</c:v>
                </c:pt>
                <c:pt idx="3391">
                  <c:v>0.57618546004663718</c:v>
                </c:pt>
                <c:pt idx="3392">
                  <c:v>0.57053978773308955</c:v>
                </c:pt>
                <c:pt idx="3393">
                  <c:v>0.5778111990129019</c:v>
                </c:pt>
                <c:pt idx="3394">
                  <c:v>0.57690522122729215</c:v>
                </c:pt>
                <c:pt idx="3395">
                  <c:v>0.59627845949609393</c:v>
                </c:pt>
                <c:pt idx="3396">
                  <c:v>0.57522076227784169</c:v>
                </c:pt>
                <c:pt idx="3397">
                  <c:v>0.58712252958372768</c:v>
                </c:pt>
                <c:pt idx="3398">
                  <c:v>0.57472928363779541</c:v>
                </c:pt>
                <c:pt idx="3399">
                  <c:v>0.58879892840656645</c:v>
                </c:pt>
                <c:pt idx="3400">
                  <c:v>0.62446155338464604</c:v>
                </c:pt>
                <c:pt idx="3401">
                  <c:v>0.60259688160385982</c:v>
                </c:pt>
                <c:pt idx="3402">
                  <c:v>0.60171567649827495</c:v>
                </c:pt>
                <c:pt idx="3403">
                  <c:v>0.61341608921636437</c:v>
                </c:pt>
                <c:pt idx="3404">
                  <c:v>0.61976586167974812</c:v>
                </c:pt>
                <c:pt idx="3405">
                  <c:v>0.615066473565408</c:v>
                </c:pt>
                <c:pt idx="3406">
                  <c:v>0.59041501824868703</c:v>
                </c:pt>
                <c:pt idx="3407">
                  <c:v>0.53664264208891321</c:v>
                </c:pt>
                <c:pt idx="3408">
                  <c:v>0.63226622132786559</c:v>
                </c:pt>
                <c:pt idx="3409">
                  <c:v>0.62329375160461997</c:v>
                </c:pt>
                <c:pt idx="3410">
                  <c:v>0.61309453094050637</c:v>
                </c:pt>
                <c:pt idx="3411">
                  <c:v>0.61877480082214276</c:v>
                </c:pt>
                <c:pt idx="3412">
                  <c:v>0.63697477536810954</c:v>
                </c:pt>
                <c:pt idx="3413">
                  <c:v>0.59985470015065145</c:v>
                </c:pt>
                <c:pt idx="3414">
                  <c:v>0.62532644695641704</c:v>
                </c:pt>
                <c:pt idx="3415">
                  <c:v>0.61296929264661648</c:v>
                </c:pt>
                <c:pt idx="3416">
                  <c:v>0.62222532069488812</c:v>
                </c:pt>
                <c:pt idx="3417">
                  <c:v>0.61099182462698209</c:v>
                </c:pt>
                <c:pt idx="3418">
                  <c:v>0.62357023948224044</c:v>
                </c:pt>
                <c:pt idx="3419">
                  <c:v>0.61941204426413066</c:v>
                </c:pt>
                <c:pt idx="3420">
                  <c:v>0.6166626350623885</c:v>
                </c:pt>
                <c:pt idx="3421">
                  <c:v>0.61145680942255898</c:v>
                </c:pt>
                <c:pt idx="3422">
                  <c:v>0.60137489456701854</c:v>
                </c:pt>
                <c:pt idx="3423">
                  <c:v>0.59070332423006611</c:v>
                </c:pt>
                <c:pt idx="3424">
                  <c:v>0.59315598077397935</c:v>
                </c:pt>
                <c:pt idx="3425">
                  <c:v>0.59513871870313784</c:v>
                </c:pt>
                <c:pt idx="3426">
                  <c:v>0.60326543834541213</c:v>
                </c:pt>
                <c:pt idx="3427">
                  <c:v>0.59858928444814619</c:v>
                </c:pt>
                <c:pt idx="3428">
                  <c:v>0.59241161276467946</c:v>
                </c:pt>
                <c:pt idx="3429">
                  <c:v>0.57928661662685255</c:v>
                </c:pt>
                <c:pt idx="3430">
                  <c:v>0.58818394247065453</c:v>
                </c:pt>
                <c:pt idx="3431">
                  <c:v>0.5721493066495128</c:v>
                </c:pt>
                <c:pt idx="3432">
                  <c:v>0.56285494167100014</c:v>
                </c:pt>
                <c:pt idx="3433">
                  <c:v>0.58630323270019169</c:v>
                </c:pt>
                <c:pt idx="3434">
                  <c:v>0.55011909284127136</c:v>
                </c:pt>
                <c:pt idx="3435">
                  <c:v>0.57669843073918403</c:v>
                </c:pt>
                <c:pt idx="3436">
                  <c:v>0.57518599686210392</c:v>
                </c:pt>
                <c:pt idx="3437">
                  <c:v>0.55572305507505371</c:v>
                </c:pt>
                <c:pt idx="3438">
                  <c:v>0.54556885157573165</c:v>
                </c:pt>
                <c:pt idx="3439">
                  <c:v>0.56194707601968474</c:v>
                </c:pt>
                <c:pt idx="3440">
                  <c:v>0.55581811302824624</c:v>
                </c:pt>
                <c:pt idx="3441">
                  <c:v>0.56449657349967586</c:v>
                </c:pt>
                <c:pt idx="3442">
                  <c:v>0.56994759526780248</c:v>
                </c:pt>
                <c:pt idx="3443">
                  <c:v>0.56542547442164481</c:v>
                </c:pt>
                <c:pt idx="3444">
                  <c:v>0.57748157426475732</c:v>
                </c:pt>
                <c:pt idx="3445">
                  <c:v>0.56940762173264858</c:v>
                </c:pt>
                <c:pt idx="3446">
                  <c:v>0.57824025506442112</c:v>
                </c:pt>
                <c:pt idx="3447">
                  <c:v>0.56593490486751574</c:v>
                </c:pt>
                <c:pt idx="3448">
                  <c:v>0.59675879898277462</c:v>
                </c:pt>
                <c:pt idx="3449">
                  <c:v>0.63411598038249717</c:v>
                </c:pt>
                <c:pt idx="3450">
                  <c:v>0.61397008359139804</c:v>
                </c:pt>
                <c:pt idx="3451">
                  <c:v>0.6093324730860209</c:v>
                </c:pt>
                <c:pt idx="3452">
                  <c:v>0.62756104038666782</c:v>
                </c:pt>
                <c:pt idx="3453">
                  <c:v>0.6279145236457776</c:v>
                </c:pt>
                <c:pt idx="3454">
                  <c:v>0.62555556722841976</c:v>
                </c:pt>
                <c:pt idx="3455">
                  <c:v>0.66215213517397797</c:v>
                </c:pt>
                <c:pt idx="3456">
                  <c:v>0.65326752092600537</c:v>
                </c:pt>
                <c:pt idx="3457">
                  <c:v>0.65240600434310292</c:v>
                </c:pt>
                <c:pt idx="3458">
                  <c:v>0.60824836005494631</c:v>
                </c:pt>
                <c:pt idx="3459">
                  <c:v>0.65775141030965056</c:v>
                </c:pt>
                <c:pt idx="3460">
                  <c:v>0.63225133310474024</c:v>
                </c:pt>
                <c:pt idx="3461">
                  <c:v>0.62301150078409095</c:v>
                </c:pt>
                <c:pt idx="3462">
                  <c:v>0.63553089335573354</c:v>
                </c:pt>
                <c:pt idx="3463">
                  <c:v>0.61772167764085084</c:v>
                </c:pt>
                <c:pt idx="3464">
                  <c:v>0.63378870540349341</c:v>
                </c:pt>
                <c:pt idx="3465">
                  <c:v>0.61873321805619652</c:v>
                </c:pt>
                <c:pt idx="3466">
                  <c:v>0.62123113656094098</c:v>
                </c:pt>
                <c:pt idx="3467">
                  <c:v>0.64591239172213533</c:v>
                </c:pt>
                <c:pt idx="3468">
                  <c:v>0.60183703246341125</c:v>
                </c:pt>
                <c:pt idx="3469">
                  <c:v>0.62837339735813724</c:v>
                </c:pt>
                <c:pt idx="3470">
                  <c:v>0.58314978550964414</c:v>
                </c:pt>
                <c:pt idx="3471">
                  <c:v>0.60826141843345061</c:v>
                </c:pt>
                <c:pt idx="3472">
                  <c:v>0.60033644393092933</c:v>
                </c:pt>
                <c:pt idx="3473">
                  <c:v>0.62770639838514308</c:v>
                </c:pt>
                <c:pt idx="3474">
                  <c:v>0.59716724123341702</c:v>
                </c:pt>
                <c:pt idx="3475">
                  <c:v>0.6145577644904946</c:v>
                </c:pt>
                <c:pt idx="3476">
                  <c:v>0.5663579330017644</c:v>
                </c:pt>
                <c:pt idx="3477">
                  <c:v>0.58501865225114724</c:v>
                </c:pt>
                <c:pt idx="3478">
                  <c:v>0.57614731431775346</c:v>
                </c:pt>
                <c:pt idx="3479">
                  <c:v>0.57895524758141281</c:v>
                </c:pt>
                <c:pt idx="3480">
                  <c:v>0.58235919630253286</c:v>
                </c:pt>
                <c:pt idx="3481">
                  <c:v>0.61534382474281069</c:v>
                </c:pt>
                <c:pt idx="3482">
                  <c:v>0.57017106199359946</c:v>
                </c:pt>
                <c:pt idx="3483">
                  <c:v>0.58514984389975733</c:v>
                </c:pt>
                <c:pt idx="3484">
                  <c:v>0.5728443127860986</c:v>
                </c:pt>
                <c:pt idx="3485">
                  <c:v>0.59309114471416635</c:v>
                </c:pt>
                <c:pt idx="3486">
                  <c:v>0.57782245007605537</c:v>
                </c:pt>
                <c:pt idx="3487">
                  <c:v>0.57532654290347607</c:v>
                </c:pt>
                <c:pt idx="3488">
                  <c:v>0.57561026801583315</c:v>
                </c:pt>
                <c:pt idx="3489">
                  <c:v>0.58623804101047328</c:v>
                </c:pt>
                <c:pt idx="3490">
                  <c:v>0.58522366411464832</c:v>
                </c:pt>
                <c:pt idx="3491">
                  <c:v>0.58483500771172681</c:v>
                </c:pt>
                <c:pt idx="3492">
                  <c:v>0.60628632591979881</c:v>
                </c:pt>
                <c:pt idx="3493">
                  <c:v>0.57696872308295177</c:v>
                </c:pt>
                <c:pt idx="3494">
                  <c:v>0.58120347316281484</c:v>
                </c:pt>
                <c:pt idx="3495">
                  <c:v>0.61278343301759519</c:v>
                </c:pt>
                <c:pt idx="3496">
                  <c:v>0.59854605161082464</c:v>
                </c:pt>
                <c:pt idx="3497">
                  <c:v>0.59306997392148908</c:v>
                </c:pt>
                <c:pt idx="3498">
                  <c:v>0.5972863619360782</c:v>
                </c:pt>
                <c:pt idx="3499">
                  <c:v>0.60496383470859794</c:v>
                </c:pt>
                <c:pt idx="3500">
                  <c:v>0.593321296623471</c:v>
                </c:pt>
                <c:pt idx="3501">
                  <c:v>0.60289639658410787</c:v>
                </c:pt>
                <c:pt idx="3502">
                  <c:v>0.61364703252279551</c:v>
                </c:pt>
                <c:pt idx="3503">
                  <c:v>0.6226225236606342</c:v>
                </c:pt>
                <c:pt idx="3504">
                  <c:v>0.66364420904472465</c:v>
                </c:pt>
                <c:pt idx="3505">
                  <c:v>0.65073975645704785</c:v>
                </c:pt>
                <c:pt idx="3506">
                  <c:v>0.65430478907119072</c:v>
                </c:pt>
                <c:pt idx="3507">
                  <c:v>0.62065127865695635</c:v>
                </c:pt>
                <c:pt idx="3508">
                  <c:v>0.67872436968006422</c:v>
                </c:pt>
                <c:pt idx="3509">
                  <c:v>0.63478952745843187</c:v>
                </c:pt>
                <c:pt idx="3510">
                  <c:v>0.63745080137308752</c:v>
                </c:pt>
                <c:pt idx="3511">
                  <c:v>0.64054771896468887</c:v>
                </c:pt>
                <c:pt idx="3512">
                  <c:v>0.6211659957312865</c:v>
                </c:pt>
                <c:pt idx="3513">
                  <c:v>0.622057897653849</c:v>
                </c:pt>
                <c:pt idx="3514">
                  <c:v>0.61411763279071951</c:v>
                </c:pt>
                <c:pt idx="3515">
                  <c:v>0.62340798569278144</c:v>
                </c:pt>
                <c:pt idx="3516">
                  <c:v>0.65194261558432487</c:v>
                </c:pt>
                <c:pt idx="3517">
                  <c:v>0.59915518285502112</c:v>
                </c:pt>
                <c:pt idx="3518">
                  <c:v>0.61406778641345972</c:v>
                </c:pt>
                <c:pt idx="3519">
                  <c:v>0.59924589425389885</c:v>
                </c:pt>
                <c:pt idx="3520">
                  <c:v>0.61769874161251581</c:v>
                </c:pt>
                <c:pt idx="3521">
                  <c:v>0.61335092915061262</c:v>
                </c:pt>
                <c:pt idx="3522">
                  <c:v>0.61998959909706108</c:v>
                </c:pt>
                <c:pt idx="3523">
                  <c:v>0.58586719679791821</c:v>
                </c:pt>
                <c:pt idx="3524">
                  <c:v>0.59499042626507903</c:v>
                </c:pt>
                <c:pt idx="3525">
                  <c:v>0.57532492636289179</c:v>
                </c:pt>
                <c:pt idx="3526">
                  <c:v>0.57588585099723766</c:v>
                </c:pt>
                <c:pt idx="3527">
                  <c:v>0.5627718709308327</c:v>
                </c:pt>
                <c:pt idx="3528">
                  <c:v>0.56674368853240609</c:v>
                </c:pt>
                <c:pt idx="3529">
                  <c:v>0.57483980790817946</c:v>
                </c:pt>
                <c:pt idx="3530">
                  <c:v>0.592523277192743</c:v>
                </c:pt>
                <c:pt idx="3531">
                  <c:v>0.56250912495061878</c:v>
                </c:pt>
                <c:pt idx="3532">
                  <c:v>0.56447561928054724</c:v>
                </c:pt>
                <c:pt idx="3533">
                  <c:v>0.5586592597139316</c:v>
                </c:pt>
                <c:pt idx="3534">
                  <c:v>0.57093339585004155</c:v>
                </c:pt>
                <c:pt idx="3535">
                  <c:v>0.56128305731968342</c:v>
                </c:pt>
                <c:pt idx="3536">
                  <c:v>0.5547100670288857</c:v>
                </c:pt>
                <c:pt idx="3537">
                  <c:v>0.55336824040990384</c:v>
                </c:pt>
                <c:pt idx="3538">
                  <c:v>0.55678442079648482</c:v>
                </c:pt>
                <c:pt idx="3539">
                  <c:v>0.57249299718897562</c:v>
                </c:pt>
                <c:pt idx="3540">
                  <c:v>0.57711386817948529</c:v>
                </c:pt>
                <c:pt idx="3541">
                  <c:v>0.5824372408971592</c:v>
                </c:pt>
                <c:pt idx="3542">
                  <c:v>0.58509859129448927</c:v>
                </c:pt>
                <c:pt idx="3543">
                  <c:v>0.58483579847583356</c:v>
                </c:pt>
                <c:pt idx="3544">
                  <c:v>0.61133917513174674</c:v>
                </c:pt>
                <c:pt idx="3545">
                  <c:v>0.56804488022758581</c:v>
                </c:pt>
                <c:pt idx="3546">
                  <c:v>0.58916604840290165</c:v>
                </c:pt>
                <c:pt idx="3547">
                  <c:v>0.59969250811893859</c:v>
                </c:pt>
                <c:pt idx="3548">
                  <c:v>0.60707471503368549</c:v>
                </c:pt>
                <c:pt idx="3549">
                  <c:v>0.60155559121020874</c:v>
                </c:pt>
                <c:pt idx="3550">
                  <c:v>0.59908544241600714</c:v>
                </c:pt>
                <c:pt idx="3551">
                  <c:v>0.62918709362532055</c:v>
                </c:pt>
                <c:pt idx="3552">
                  <c:v>0.58728206986504872</c:v>
                </c:pt>
                <c:pt idx="3553">
                  <c:v>0.62408563889156976</c:v>
                </c:pt>
                <c:pt idx="3554">
                  <c:v>0.6172867341651882</c:v>
                </c:pt>
                <c:pt idx="3555">
                  <c:v>0.61918487777064102</c:v>
                </c:pt>
                <c:pt idx="3556">
                  <c:v>0.61764354355640205</c:v>
                </c:pt>
                <c:pt idx="3557">
                  <c:v>0.61923935847275924</c:v>
                </c:pt>
                <c:pt idx="3558">
                  <c:v>0.5807751695397898</c:v>
                </c:pt>
                <c:pt idx="3559">
                  <c:v>0.59475122008601577</c:v>
                </c:pt>
                <c:pt idx="3560">
                  <c:v>0.58748276019404599</c:v>
                </c:pt>
                <c:pt idx="3561">
                  <c:v>0.58328653114045337</c:v>
                </c:pt>
                <c:pt idx="3562">
                  <c:v>0.58491565823499536</c:v>
                </c:pt>
                <c:pt idx="3563">
                  <c:v>0.58449902866658621</c:v>
                </c:pt>
                <c:pt idx="3564">
                  <c:v>0.57098004970981076</c:v>
                </c:pt>
                <c:pt idx="3565">
                  <c:v>0.5975124367215694</c:v>
                </c:pt>
                <c:pt idx="3566">
                  <c:v>0.62139015550070742</c:v>
                </c:pt>
                <c:pt idx="3567">
                  <c:v>0.64583053037255012</c:v>
                </c:pt>
                <c:pt idx="3568">
                  <c:v>0.64673868021321834</c:v>
                </c:pt>
                <c:pt idx="3569">
                  <c:v>0.66697375052349772</c:v>
                </c:pt>
                <c:pt idx="3570">
                  <c:v>0.65509999997070889</c:v>
                </c:pt>
                <c:pt idx="3571">
                  <c:v>0.65636674879937029</c:v>
                </c:pt>
                <c:pt idx="3572">
                  <c:v>0.65830652115693211</c:v>
                </c:pt>
                <c:pt idx="3573">
                  <c:v>0.66816498541363312</c:v>
                </c:pt>
                <c:pt idx="3574">
                  <c:v>0.65495680024779268</c:v>
                </c:pt>
                <c:pt idx="3575">
                  <c:v>0.66082195155044532</c:v>
                </c:pt>
                <c:pt idx="3576">
                  <c:v>0.66417358745744925</c:v>
                </c:pt>
                <c:pt idx="3577">
                  <c:v>0.67861642565665348</c:v>
                </c:pt>
                <c:pt idx="3578">
                  <c:v>0.66116369228393246</c:v>
                </c:pt>
                <c:pt idx="3579">
                  <c:v>0.66829587978896066</c:v>
                </c:pt>
                <c:pt idx="3580">
                  <c:v>0.66631585555546469</c:v>
                </c:pt>
                <c:pt idx="3581">
                  <c:v>0.6346531691435523</c:v>
                </c:pt>
                <c:pt idx="3582">
                  <c:v>0.60015851073254622</c:v>
                </c:pt>
                <c:pt idx="3583">
                  <c:v>0.58995362048483468</c:v>
                </c:pt>
                <c:pt idx="3584">
                  <c:v>0.57111368527652473</c:v>
                </c:pt>
                <c:pt idx="3585">
                  <c:v>0.57404354361157561</c:v>
                </c:pt>
                <c:pt idx="3586">
                  <c:v>0.5908665681396339</c:v>
                </c:pt>
                <c:pt idx="3587">
                  <c:v>0.59667833957669392</c:v>
                </c:pt>
                <c:pt idx="3588">
                  <c:v>0.6043275926594075</c:v>
                </c:pt>
                <c:pt idx="3589">
                  <c:v>0.59791118274119959</c:v>
                </c:pt>
                <c:pt idx="3590">
                  <c:v>0.60686666519195454</c:v>
                </c:pt>
                <c:pt idx="3591">
                  <c:v>0.60376774950791834</c:v>
                </c:pt>
                <c:pt idx="3592">
                  <c:v>0.61153978247141028</c:v>
                </c:pt>
                <c:pt idx="3593">
                  <c:v>0.59000966155075552</c:v>
                </c:pt>
                <c:pt idx="3594">
                  <c:v>0.57727620759111187</c:v>
                </c:pt>
                <c:pt idx="3595">
                  <c:v>0.58005791550257235</c:v>
                </c:pt>
                <c:pt idx="3596">
                  <c:v>0.59153828638766159</c:v>
                </c:pt>
                <c:pt idx="3597">
                  <c:v>0.59844961045918998</c:v>
                </c:pt>
                <c:pt idx="3598">
                  <c:v>0.50117254761051511</c:v>
                </c:pt>
                <c:pt idx="3599">
                  <c:v>0.6290205988472708</c:v>
                </c:pt>
                <c:pt idx="3600">
                  <c:v>0.61081096908032018</c:v>
                </c:pt>
                <c:pt idx="3601">
                  <c:v>0.5881923497877638</c:v>
                </c:pt>
                <c:pt idx="3602">
                  <c:v>0.63068298623097707</c:v>
                </c:pt>
                <c:pt idx="3603">
                  <c:v>0.63320648691258707</c:v>
                </c:pt>
                <c:pt idx="3604">
                  <c:v>0.61781990135660625</c:v>
                </c:pt>
                <c:pt idx="3605">
                  <c:v>0.61920523055674592</c:v>
                </c:pt>
                <c:pt idx="3606">
                  <c:v>0.60510304684902616</c:v>
                </c:pt>
                <c:pt idx="3607">
                  <c:v>0.59875429581437323</c:v>
                </c:pt>
                <c:pt idx="3608">
                  <c:v>0.58707881430613618</c:v>
                </c:pt>
                <c:pt idx="3609">
                  <c:v>0.5798839299090448</c:v>
                </c:pt>
                <c:pt idx="3610">
                  <c:v>0.5898342579382263</c:v>
                </c:pt>
                <c:pt idx="3611">
                  <c:v>0.57371927434394399</c:v>
                </c:pt>
                <c:pt idx="3612">
                  <c:v>0.57826996002413733</c:v>
                </c:pt>
                <c:pt idx="3613">
                  <c:v>0.56277769471952044</c:v>
                </c:pt>
                <c:pt idx="3614">
                  <c:v>0.60251608667567058</c:v>
                </c:pt>
                <c:pt idx="3615">
                  <c:v>0.62382837707321392</c:v>
                </c:pt>
                <c:pt idx="3616">
                  <c:v>0.63360902304217559</c:v>
                </c:pt>
                <c:pt idx="3617">
                  <c:v>0.63635237131942246</c:v>
                </c:pt>
                <c:pt idx="3618">
                  <c:v>0.64554536750937941</c:v>
                </c:pt>
                <c:pt idx="3619">
                  <c:v>0.63302545133794663</c:v>
                </c:pt>
                <c:pt idx="3620">
                  <c:v>0.63966973084572043</c:v>
                </c:pt>
                <c:pt idx="3621">
                  <c:v>0.6456593962027678</c:v>
                </c:pt>
                <c:pt idx="3622">
                  <c:v>0.63830761399409242</c:v>
                </c:pt>
                <c:pt idx="3623">
                  <c:v>0.63123001918234889</c:v>
                </c:pt>
                <c:pt idx="3624">
                  <c:v>0.6286482030880346</c:v>
                </c:pt>
                <c:pt idx="3625">
                  <c:v>0.64845886272108011</c:v>
                </c:pt>
                <c:pt idx="3626">
                  <c:v>0.64508265980453872</c:v>
                </c:pt>
                <c:pt idx="3627">
                  <c:v>0.6420706077039835</c:v>
                </c:pt>
                <c:pt idx="3628">
                  <c:v>0.65304590576030475</c:v>
                </c:pt>
                <c:pt idx="3629">
                  <c:v>0.64213456855606832</c:v>
                </c:pt>
                <c:pt idx="3630">
                  <c:v>0.60198148550518094</c:v>
                </c:pt>
                <c:pt idx="3631">
                  <c:v>0.5691733386582406</c:v>
                </c:pt>
                <c:pt idx="3632">
                  <c:v>0.56656758427126575</c:v>
                </c:pt>
                <c:pt idx="3633">
                  <c:v>0.55272246912080936</c:v>
                </c:pt>
                <c:pt idx="3634">
                  <c:v>0.55674754514050695</c:v>
                </c:pt>
                <c:pt idx="3635">
                  <c:v>0.55811322721084944</c:v>
                </c:pt>
                <c:pt idx="3636">
                  <c:v>0.5521880371041431</c:v>
                </c:pt>
                <c:pt idx="3637">
                  <c:v>0.56975103184433329</c:v>
                </c:pt>
                <c:pt idx="3638">
                  <c:v>0.56671742466859809</c:v>
                </c:pt>
                <c:pt idx="3639">
                  <c:v>0.58719792528820358</c:v>
                </c:pt>
                <c:pt idx="3640">
                  <c:v>0.57437486138013027</c:v>
                </c:pt>
                <c:pt idx="3641">
                  <c:v>0.58851618783736714</c:v>
                </c:pt>
                <c:pt idx="3642">
                  <c:v>0.58671442408770946</c:v>
                </c:pt>
                <c:pt idx="3643">
                  <c:v>0.58224272814286515</c:v>
                </c:pt>
                <c:pt idx="3644">
                  <c:v>0.57402675104162026</c:v>
                </c:pt>
                <c:pt idx="3645">
                  <c:v>0.60201427942811114</c:v>
                </c:pt>
                <c:pt idx="3646">
                  <c:v>0.57990449651385634</c:v>
                </c:pt>
                <c:pt idx="3647">
                  <c:v>0.60144600799398495</c:v>
                </c:pt>
                <c:pt idx="3648">
                  <c:v>0.59641828342092262</c:v>
                </c:pt>
                <c:pt idx="3649">
                  <c:v>0.60825735111175649</c:v>
                </c:pt>
                <c:pt idx="3650">
                  <c:v>0.60194673427527612</c:v>
                </c:pt>
                <c:pt idx="3651">
                  <c:v>0.58711612427834781</c:v>
                </c:pt>
                <c:pt idx="3652">
                  <c:v>0.60055712371500802</c:v>
                </c:pt>
                <c:pt idx="3653">
                  <c:v>0.63027935550066527</c:v>
                </c:pt>
                <c:pt idx="3654">
                  <c:v>0.60835228103160655</c:v>
                </c:pt>
                <c:pt idx="3655">
                  <c:v>0.60622320582444278</c:v>
                </c:pt>
                <c:pt idx="3656">
                  <c:v>0.62050853444275822</c:v>
                </c:pt>
                <c:pt idx="3657">
                  <c:v>0.59293627481865196</c:v>
                </c:pt>
                <c:pt idx="3658">
                  <c:v>0.58059211702419311</c:v>
                </c:pt>
                <c:pt idx="3659">
                  <c:v>0.57382704340520019</c:v>
                </c:pt>
                <c:pt idx="3660">
                  <c:v>0.58327451376432904</c:v>
                </c:pt>
                <c:pt idx="3661">
                  <c:v>0.59563034740254461</c:v>
                </c:pt>
                <c:pt idx="3662">
                  <c:v>0.58948435567939084</c:v>
                </c:pt>
                <c:pt idx="3663">
                  <c:v>0.62679731680965478</c:v>
                </c:pt>
                <c:pt idx="3664">
                  <c:v>0.64558043378375762</c:v>
                </c:pt>
                <c:pt idx="3665">
                  <c:v>0.65754879377943809</c:v>
                </c:pt>
                <c:pt idx="3666">
                  <c:v>0.65493632555699999</c:v>
                </c:pt>
                <c:pt idx="3667">
                  <c:v>0.6589367459502965</c:v>
                </c:pt>
                <c:pt idx="3668">
                  <c:v>0.65782016954167</c:v>
                </c:pt>
                <c:pt idx="3669">
                  <c:v>0.65598534748237547</c:v>
                </c:pt>
                <c:pt idx="3670">
                  <c:v>0.65167344904677749</c:v>
                </c:pt>
                <c:pt idx="3671">
                  <c:v>0.64308238132499906</c:v>
                </c:pt>
                <c:pt idx="3672">
                  <c:v>0.65878975622298996</c:v>
                </c:pt>
                <c:pt idx="3673">
                  <c:v>0.66412097981555029</c:v>
                </c:pt>
                <c:pt idx="3674">
                  <c:v>0.6631548407911263</c:v>
                </c:pt>
                <c:pt idx="3675">
                  <c:v>0.65914300019089767</c:v>
                </c:pt>
                <c:pt idx="3676">
                  <c:v>0.67205063739416004</c:v>
                </c:pt>
                <c:pt idx="3677">
                  <c:v>0.65598467621221923</c:v>
                </c:pt>
                <c:pt idx="3678">
                  <c:v>0.62041247821992551</c:v>
                </c:pt>
                <c:pt idx="3679">
                  <c:v>0.60939364835283483</c:v>
                </c:pt>
                <c:pt idx="3680">
                  <c:v>0.57348545101375303</c:v>
                </c:pt>
                <c:pt idx="3681">
                  <c:v>0.56976436495439797</c:v>
                </c:pt>
                <c:pt idx="3682">
                  <c:v>0.58008486960793293</c:v>
                </c:pt>
                <c:pt idx="3683">
                  <c:v>0.56920484133820382</c:v>
                </c:pt>
                <c:pt idx="3684">
                  <c:v>0.58533064729193551</c:v>
                </c:pt>
                <c:pt idx="3685">
                  <c:v>0.59801946964307262</c:v>
                </c:pt>
                <c:pt idx="3686">
                  <c:v>0.59707422751930972</c:v>
                </c:pt>
                <c:pt idx="3687">
                  <c:v>0.59828196425991376</c:v>
                </c:pt>
                <c:pt idx="3688">
                  <c:v>0.584160639808185</c:v>
                </c:pt>
                <c:pt idx="3689">
                  <c:v>0.58497178848497355</c:v>
                </c:pt>
                <c:pt idx="3690">
                  <c:v>0.59568720326309987</c:v>
                </c:pt>
                <c:pt idx="3691">
                  <c:v>0.57602363457953321</c:v>
                </c:pt>
                <c:pt idx="3692">
                  <c:v>0.59398513919520335</c:v>
                </c:pt>
                <c:pt idx="3693">
                  <c:v>0.58180100164627913</c:v>
                </c:pt>
                <c:pt idx="3694">
                  <c:v>0.58786692391940154</c:v>
                </c:pt>
                <c:pt idx="3695">
                  <c:v>0.52525969722243415</c:v>
                </c:pt>
                <c:pt idx="3696">
                  <c:v>0.60051964330179597</c:v>
                </c:pt>
                <c:pt idx="3697">
                  <c:v>0.59604689745810402</c:v>
                </c:pt>
                <c:pt idx="3698">
                  <c:v>0.59195288809951674</c:v>
                </c:pt>
                <c:pt idx="3699">
                  <c:v>0.59916152233963693</c:v>
                </c:pt>
                <c:pt idx="3700">
                  <c:v>0.594443601840562</c:v>
                </c:pt>
                <c:pt idx="3701">
                  <c:v>0.60681737562799365</c:v>
                </c:pt>
                <c:pt idx="3702">
                  <c:v>0.62476677026419081</c:v>
                </c:pt>
                <c:pt idx="3703">
                  <c:v>0.59571177238790685</c:v>
                </c:pt>
                <c:pt idx="3704">
                  <c:v>0.61361277945963222</c:v>
                </c:pt>
                <c:pt idx="3705">
                  <c:v>0.59789638435707415</c:v>
                </c:pt>
                <c:pt idx="3706">
                  <c:v>0.58452288236977457</c:v>
                </c:pt>
                <c:pt idx="3707">
                  <c:v>0.57550894240722117</c:v>
                </c:pt>
                <c:pt idx="3708">
                  <c:v>0.56391077682890733</c:v>
                </c:pt>
                <c:pt idx="3709">
                  <c:v>0.57858695397906112</c:v>
                </c:pt>
                <c:pt idx="3710">
                  <c:v>0.59234311252166127</c:v>
                </c:pt>
                <c:pt idx="3711">
                  <c:v>0.58855931067104506</c:v>
                </c:pt>
                <c:pt idx="3712">
                  <c:v>0.61949278131071339</c:v>
                </c:pt>
                <c:pt idx="3713">
                  <c:v>0.63891894593653364</c:v>
                </c:pt>
                <c:pt idx="3714">
                  <c:v>0.64224929824408172</c:v>
                </c:pt>
                <c:pt idx="3715">
                  <c:v>0.64004075736974886</c:v>
                </c:pt>
                <c:pt idx="3716">
                  <c:v>0.64318866365311211</c:v>
                </c:pt>
                <c:pt idx="3717">
                  <c:v>0.63466475220048468</c:v>
                </c:pt>
                <c:pt idx="3718">
                  <c:v>0.65335600026828966</c:v>
                </c:pt>
                <c:pt idx="3719">
                  <c:v>0.62420306974515805</c:v>
                </c:pt>
                <c:pt idx="3720">
                  <c:v>0.62784986610322457</c:v>
                </c:pt>
                <c:pt idx="3721">
                  <c:v>0.64855203403792516</c:v>
                </c:pt>
                <c:pt idx="3722">
                  <c:v>0.64352057904202353</c:v>
                </c:pt>
                <c:pt idx="3723">
                  <c:v>0.64535888917229745</c:v>
                </c:pt>
                <c:pt idx="3724">
                  <c:v>0.64036763094328786</c:v>
                </c:pt>
                <c:pt idx="3725">
                  <c:v>0.64929873091963408</c:v>
                </c:pt>
                <c:pt idx="3726">
                  <c:v>0.62315952692909582</c:v>
                </c:pt>
                <c:pt idx="3727">
                  <c:v>0.57704337190518651</c:v>
                </c:pt>
                <c:pt idx="3728">
                  <c:v>0.56374182111881899</c:v>
                </c:pt>
                <c:pt idx="3729">
                  <c:v>0.54460883842993779</c:v>
                </c:pt>
                <c:pt idx="3730">
                  <c:v>0.5471040455988796</c:v>
                </c:pt>
                <c:pt idx="3731">
                  <c:v>0.5389362485171626</c:v>
                </c:pt>
                <c:pt idx="3732">
                  <c:v>0.54372729975429346</c:v>
                </c:pt>
                <c:pt idx="3733">
                  <c:v>0.54917706771723929</c:v>
                </c:pt>
                <c:pt idx="3734">
                  <c:v>0.56796291383227659</c:v>
                </c:pt>
                <c:pt idx="3735">
                  <c:v>0.57701703349294298</c:v>
                </c:pt>
                <c:pt idx="3736">
                  <c:v>0.604919290340727</c:v>
                </c:pt>
                <c:pt idx="3737">
                  <c:v>0.60398345023399092</c:v>
                </c:pt>
                <c:pt idx="3738">
                  <c:v>0.59182751533344191</c:v>
                </c:pt>
                <c:pt idx="3739">
                  <c:v>0.60524102878729513</c:v>
                </c:pt>
                <c:pt idx="3740">
                  <c:v>0.61246405589411201</c:v>
                </c:pt>
                <c:pt idx="3741">
                  <c:v>0.61547722307521913</c:v>
                </c:pt>
                <c:pt idx="3742">
                  <c:v>0.58435225999704543</c:v>
                </c:pt>
                <c:pt idx="3743">
                  <c:v>0.61263574764172801</c:v>
                </c:pt>
                <c:pt idx="3744">
                  <c:v>0.58669384001681679</c:v>
                </c:pt>
                <c:pt idx="3745">
                  <c:v>0.57884164255757742</c:v>
                </c:pt>
                <c:pt idx="3746">
                  <c:v>0.59616203356195319</c:v>
                </c:pt>
                <c:pt idx="3747">
                  <c:v>0.59317991779565793</c:v>
                </c:pt>
                <c:pt idx="3748">
                  <c:v>0.60325396129004549</c:v>
                </c:pt>
                <c:pt idx="3749">
                  <c:v>0.60893895182111812</c:v>
                </c:pt>
                <c:pt idx="3750">
                  <c:v>0.6106816643922649</c:v>
                </c:pt>
                <c:pt idx="3751">
                  <c:v>0.60895840125759515</c:v>
                </c:pt>
                <c:pt idx="3752">
                  <c:v>0.60278790995016496</c:v>
                </c:pt>
                <c:pt idx="3753">
                  <c:v>0.60401533674000218</c:v>
                </c:pt>
                <c:pt idx="3754">
                  <c:v>0.54651058372366679</c:v>
                </c:pt>
                <c:pt idx="3755">
                  <c:v>0.56739212579339471</c:v>
                </c:pt>
                <c:pt idx="3756">
                  <c:v>0.59793222846344196</c:v>
                </c:pt>
                <c:pt idx="3757">
                  <c:v>0.58617092500703871</c:v>
                </c:pt>
                <c:pt idx="3758">
                  <c:v>0.60533597370395154</c:v>
                </c:pt>
                <c:pt idx="3759">
                  <c:v>0.63805104746813979</c:v>
                </c:pt>
                <c:pt idx="3760">
                  <c:v>0.65078779897181427</c:v>
                </c:pt>
                <c:pt idx="3761">
                  <c:v>0.68576904904601244</c:v>
                </c:pt>
                <c:pt idx="3762">
                  <c:v>0.67281154701918555</c:v>
                </c:pt>
                <c:pt idx="3763">
                  <c:v>0.66482759207528197</c:v>
                </c:pt>
                <c:pt idx="3764">
                  <c:v>0.67409075581924016</c:v>
                </c:pt>
                <c:pt idx="3765">
                  <c:v>0.67204860430056934</c:v>
                </c:pt>
                <c:pt idx="3766">
                  <c:v>0.66631295265863533</c:v>
                </c:pt>
                <c:pt idx="3767">
                  <c:v>0.66560856737302831</c:v>
                </c:pt>
                <c:pt idx="3768">
                  <c:v>0.67691545457679281</c:v>
                </c:pt>
                <c:pt idx="3769">
                  <c:v>0.6812751653066933</c:v>
                </c:pt>
                <c:pt idx="3770">
                  <c:v>0.66692157451556899</c:v>
                </c:pt>
                <c:pt idx="3771">
                  <c:v>0.67589468769003358</c:v>
                </c:pt>
                <c:pt idx="3772">
                  <c:v>0.65591629711636179</c:v>
                </c:pt>
                <c:pt idx="3773">
                  <c:v>0.63474078981637128</c:v>
                </c:pt>
                <c:pt idx="3774">
                  <c:v>0.60011238011876655</c:v>
                </c:pt>
                <c:pt idx="3775">
                  <c:v>0.59280320001984943</c:v>
                </c:pt>
                <c:pt idx="3776">
                  <c:v>0.59522883899472012</c:v>
                </c:pt>
                <c:pt idx="3777">
                  <c:v>0.59029031624085893</c:v>
                </c:pt>
                <c:pt idx="3778">
                  <c:v>0.59452359250048137</c:v>
                </c:pt>
                <c:pt idx="3779">
                  <c:v>0.59251928174428481</c:v>
                </c:pt>
                <c:pt idx="3780">
                  <c:v>0.57724723928316668</c:v>
                </c:pt>
                <c:pt idx="3781">
                  <c:v>0.60401739036692237</c:v>
                </c:pt>
                <c:pt idx="3782">
                  <c:v>0.60216475223544508</c:v>
                </c:pt>
                <c:pt idx="3783">
                  <c:v>0.61739689956357169</c:v>
                </c:pt>
                <c:pt idx="3784">
                  <c:v>0.60653344904594875</c:v>
                </c:pt>
                <c:pt idx="3785">
                  <c:v>0.60162276248787594</c:v>
                </c:pt>
                <c:pt idx="3786">
                  <c:v>0.5893722424289406</c:v>
                </c:pt>
                <c:pt idx="3787">
                  <c:v>0.59817352369763455</c:v>
                </c:pt>
                <c:pt idx="3788">
                  <c:v>0.59508465961673129</c:v>
                </c:pt>
                <c:pt idx="3789">
                  <c:v>0.61587633100951678</c:v>
                </c:pt>
                <c:pt idx="3790">
                  <c:v>0.52584446862893175</c:v>
                </c:pt>
                <c:pt idx="3791">
                  <c:v>0.59944648495425645</c:v>
                </c:pt>
                <c:pt idx="3792">
                  <c:v>0.60452034451143588</c:v>
                </c:pt>
                <c:pt idx="3793">
                  <c:v>0.56851922983323078</c:v>
                </c:pt>
                <c:pt idx="3794">
                  <c:v>0.58484980605850068</c:v>
                </c:pt>
                <c:pt idx="3795">
                  <c:v>0.59035155631659364</c:v>
                </c:pt>
                <c:pt idx="3796">
                  <c:v>0.6061410391808898</c:v>
                </c:pt>
                <c:pt idx="3797">
                  <c:v>0.59819072264393469</c:v>
                </c:pt>
                <c:pt idx="3798">
                  <c:v>0.61060086933004964</c:v>
                </c:pt>
                <c:pt idx="3799">
                  <c:v>0.60683853109340447</c:v>
                </c:pt>
                <c:pt idx="3800">
                  <c:v>0.59899600960361987</c:v>
                </c:pt>
                <c:pt idx="3801">
                  <c:v>0.60788535126502563</c:v>
                </c:pt>
                <c:pt idx="3802">
                  <c:v>0.55235911230478807</c:v>
                </c:pt>
                <c:pt idx="3803">
                  <c:v>0.55072634388897457</c:v>
                </c:pt>
                <c:pt idx="3804">
                  <c:v>0.57066048702194094</c:v>
                </c:pt>
                <c:pt idx="3805">
                  <c:v>0.60005413731019119</c:v>
                </c:pt>
                <c:pt idx="3806">
                  <c:v>0.58084073033394301</c:v>
                </c:pt>
                <c:pt idx="3807">
                  <c:v>0.62443371138375714</c:v>
                </c:pt>
                <c:pt idx="3808">
                  <c:v>0.6355446644071423</c:v>
                </c:pt>
                <c:pt idx="3809">
                  <c:v>0.66103110415990274</c:v>
                </c:pt>
                <c:pt idx="3810">
                  <c:v>0.66506628636618559</c:v>
                </c:pt>
                <c:pt idx="3811">
                  <c:v>0.64706319602862039</c:v>
                </c:pt>
                <c:pt idx="3812">
                  <c:v>0.64569897022323786</c:v>
                </c:pt>
                <c:pt idx="3813">
                  <c:v>0.65166221401076119</c:v>
                </c:pt>
                <c:pt idx="3814">
                  <c:v>0.64213536058187726</c:v>
                </c:pt>
                <c:pt idx="3815">
                  <c:v>0.63212349619903563</c:v>
                </c:pt>
                <c:pt idx="3816">
                  <c:v>0.64000543990132064</c:v>
                </c:pt>
                <c:pt idx="3817">
                  <c:v>0.66191126581869031</c:v>
                </c:pt>
                <c:pt idx="3818">
                  <c:v>0.65070287172832453</c:v>
                </c:pt>
                <c:pt idx="3819">
                  <c:v>0.64977681565144374</c:v>
                </c:pt>
                <c:pt idx="3820">
                  <c:v>0.65294142943152189</c:v>
                </c:pt>
                <c:pt idx="3821">
                  <c:v>0.63016508296953821</c:v>
                </c:pt>
                <c:pt idx="3822">
                  <c:v>0.58714219440474491</c:v>
                </c:pt>
                <c:pt idx="3823">
                  <c:v>0.57724252600267956</c:v>
                </c:pt>
                <c:pt idx="3824">
                  <c:v>0.56798370047111912</c:v>
                </c:pt>
                <c:pt idx="3825">
                  <c:v>0.5737914709837163</c:v>
                </c:pt>
                <c:pt idx="3826">
                  <c:v>0.59254036841844182</c:v>
                </c:pt>
                <c:pt idx="3827">
                  <c:v>0.57819253937045467</c:v>
                </c:pt>
                <c:pt idx="3828">
                  <c:v>0.57866201269447004</c:v>
                </c:pt>
                <c:pt idx="3829">
                  <c:v>0.58350267375343523</c:v>
                </c:pt>
                <c:pt idx="3830">
                  <c:v>0.59352165218393649</c:v>
                </c:pt>
                <c:pt idx="3831">
                  <c:v>0.61298602140625524</c:v>
                </c:pt>
                <c:pt idx="3832">
                  <c:v>0.60018620855762372</c:v>
                </c:pt>
                <c:pt idx="3833">
                  <c:v>0.60046178201079403</c:v>
                </c:pt>
                <c:pt idx="3834">
                  <c:v>0.58854643027309306</c:v>
                </c:pt>
                <c:pt idx="3835">
                  <c:v>0.58673275771189992</c:v>
                </c:pt>
                <c:pt idx="3836">
                  <c:v>0.57490372804181022</c:v>
                </c:pt>
                <c:pt idx="3837">
                  <c:v>0.62193698119474305</c:v>
                </c:pt>
                <c:pt idx="3838">
                  <c:v>0.62043901808700941</c:v>
                </c:pt>
                <c:pt idx="3839">
                  <c:v>0.61218231319324967</c:v>
                </c:pt>
                <c:pt idx="3840">
                  <c:v>0.61680318542686863</c:v>
                </c:pt>
                <c:pt idx="3841">
                  <c:v>0.61031152315515336</c:v>
                </c:pt>
                <c:pt idx="3842">
                  <c:v>0.60217538975364149</c:v>
                </c:pt>
                <c:pt idx="3843">
                  <c:v>0.58706746334736493</c:v>
                </c:pt>
                <c:pt idx="3844">
                  <c:v>0.60086643150970287</c:v>
                </c:pt>
                <c:pt idx="3845">
                  <c:v>0.59177615540012007</c:v>
                </c:pt>
                <c:pt idx="3846">
                  <c:v>0.5950368834352322</c:v>
                </c:pt>
                <c:pt idx="3847">
                  <c:v>0.59411818410864004</c:v>
                </c:pt>
                <c:pt idx="3848">
                  <c:v>0.58492435494582673</c:v>
                </c:pt>
                <c:pt idx="3849">
                  <c:v>0.55873340378939129</c:v>
                </c:pt>
                <c:pt idx="3850">
                  <c:v>0.57797614714570777</c:v>
                </c:pt>
                <c:pt idx="3851">
                  <c:v>0.58052914280974532</c:v>
                </c:pt>
                <c:pt idx="3852">
                  <c:v>0.57775780989328063</c:v>
                </c:pt>
                <c:pt idx="3853">
                  <c:v>0.58437069360891258</c:v>
                </c:pt>
                <c:pt idx="3854">
                  <c:v>0.637228373723005</c:v>
                </c:pt>
                <c:pt idx="3855">
                  <c:v>0.65653055553924033</c:v>
                </c:pt>
                <c:pt idx="3856">
                  <c:v>0.66092047251291575</c:v>
                </c:pt>
                <c:pt idx="3857">
                  <c:v>0.6757874122868941</c:v>
                </c:pt>
                <c:pt idx="3858">
                  <c:v>0.66585095759177138</c:v>
                </c:pt>
                <c:pt idx="3859">
                  <c:v>0.67650458182097151</c:v>
                </c:pt>
                <c:pt idx="3860">
                  <c:v>0.68509689245331806</c:v>
                </c:pt>
                <c:pt idx="3861">
                  <c:v>0.65969519534113863</c:v>
                </c:pt>
                <c:pt idx="3862">
                  <c:v>0.65116700267259253</c:v>
                </c:pt>
                <c:pt idx="3863">
                  <c:v>0.66376686531566598</c:v>
                </c:pt>
                <c:pt idx="3864">
                  <c:v>0.66958165437443518</c:v>
                </c:pt>
                <c:pt idx="3865">
                  <c:v>0.67799919162466826</c:v>
                </c:pt>
                <c:pt idx="3866">
                  <c:v>0.67606209796402317</c:v>
                </c:pt>
                <c:pt idx="3867">
                  <c:v>0.67562539544382827</c:v>
                </c:pt>
                <c:pt idx="3868">
                  <c:v>0.66913270809977454</c:v>
                </c:pt>
                <c:pt idx="3869">
                  <c:v>0.62642834673038761</c:v>
                </c:pt>
                <c:pt idx="3870">
                  <c:v>0.5954532311577414</c:v>
                </c:pt>
                <c:pt idx="3871">
                  <c:v>0.58226693336563251</c:v>
                </c:pt>
                <c:pt idx="3872">
                  <c:v>0.60414145465146207</c:v>
                </c:pt>
                <c:pt idx="3873">
                  <c:v>0.58127785327496062</c:v>
                </c:pt>
                <c:pt idx="3874">
                  <c:v>0.59610689091939395</c:v>
                </c:pt>
                <c:pt idx="3875">
                  <c:v>0.62245007403836217</c:v>
                </c:pt>
                <c:pt idx="3876">
                  <c:v>0.5893986246211852</c:v>
                </c:pt>
                <c:pt idx="3877">
                  <c:v>0.61363878666189542</c:v>
                </c:pt>
                <c:pt idx="3878">
                  <c:v>0.61527747882466788</c:v>
                </c:pt>
                <c:pt idx="3879">
                  <c:v>0.61730822437685318</c:v>
                </c:pt>
                <c:pt idx="3880">
                  <c:v>0.63607246003804108</c:v>
                </c:pt>
                <c:pt idx="3881">
                  <c:v>0.62026611554668887</c:v>
                </c:pt>
                <c:pt idx="3882">
                  <c:v>0.61797870870143246</c:v>
                </c:pt>
                <c:pt idx="3883">
                  <c:v>0.60902956594669633</c:v>
                </c:pt>
                <c:pt idx="3884">
                  <c:v>0.62638820900191527</c:v>
                </c:pt>
                <c:pt idx="3885">
                  <c:v>0.6279299704631357</c:v>
                </c:pt>
                <c:pt idx="3886">
                  <c:v>0.55259753106217924</c:v>
                </c:pt>
                <c:pt idx="3887">
                  <c:v>0.60614910596626215</c:v>
                </c:pt>
                <c:pt idx="3888">
                  <c:v>0.60995044874164084</c:v>
                </c:pt>
                <c:pt idx="3889">
                  <c:v>0.60895797380681405</c:v>
                </c:pt>
                <c:pt idx="3890">
                  <c:v>0.60968008590112022</c:v>
                </c:pt>
                <c:pt idx="3891">
                  <c:v>0.60215194344941814</c:v>
                </c:pt>
                <c:pt idx="3892">
                  <c:v>0.58877676371687737</c:v>
                </c:pt>
                <c:pt idx="3893">
                  <c:v>0.60271278794071448</c:v>
                </c:pt>
                <c:pt idx="3894">
                  <c:v>0.59188787216686911</c:v>
                </c:pt>
                <c:pt idx="3895">
                  <c:v>0.58909669869650005</c:v>
                </c:pt>
                <c:pt idx="3896">
                  <c:v>0.59060891562063356</c:v>
                </c:pt>
                <c:pt idx="3897">
                  <c:v>0.5764179497712727</c:v>
                </c:pt>
                <c:pt idx="3898">
                  <c:v>0.55787421209405208</c:v>
                </c:pt>
                <c:pt idx="3899">
                  <c:v>0.57054877713409224</c:v>
                </c:pt>
                <c:pt idx="3900">
                  <c:v>0.58048829595524276</c:v>
                </c:pt>
                <c:pt idx="3901">
                  <c:v>0.57910041719821248</c:v>
                </c:pt>
                <c:pt idx="3902">
                  <c:v>0.57802801767307022</c:v>
                </c:pt>
                <c:pt idx="3903">
                  <c:v>0.62037271742337863</c:v>
                </c:pt>
                <c:pt idx="3904">
                  <c:v>0.642027829865226</c:v>
                </c:pt>
                <c:pt idx="3905">
                  <c:v>0.64807113349473522</c:v>
                </c:pt>
                <c:pt idx="3906">
                  <c:v>0.66323595321226236</c:v>
                </c:pt>
                <c:pt idx="3907">
                  <c:v>0.64948440164528576</c:v>
                </c:pt>
                <c:pt idx="3908">
                  <c:v>0.65585980191560378</c:v>
                </c:pt>
                <c:pt idx="3909">
                  <c:v>0.66956269420105485</c:v>
                </c:pt>
                <c:pt idx="3910">
                  <c:v>0.64500762483572094</c:v>
                </c:pt>
                <c:pt idx="3911">
                  <c:v>0.63438828609685072</c:v>
                </c:pt>
                <c:pt idx="3912">
                  <c:v>0.6484938896760114</c:v>
                </c:pt>
                <c:pt idx="3913">
                  <c:v>0.65417240113477915</c:v>
                </c:pt>
                <c:pt idx="3914">
                  <c:v>0.65765742175029251</c:v>
                </c:pt>
                <c:pt idx="3915">
                  <c:v>0.65422516858202873</c:v>
                </c:pt>
                <c:pt idx="3916">
                  <c:v>0.65486383931673653</c:v>
                </c:pt>
                <c:pt idx="3917">
                  <c:v>0.64844081151590494</c:v>
                </c:pt>
                <c:pt idx="3918">
                  <c:v>0.5972823002934895</c:v>
                </c:pt>
                <c:pt idx="3919">
                  <c:v>0.57228921082553941</c:v>
                </c:pt>
                <c:pt idx="3920">
                  <c:v>0.56238613851447206</c:v>
                </c:pt>
                <c:pt idx="3921">
                  <c:v>0.56286195263723904</c:v>
                </c:pt>
                <c:pt idx="3922">
                  <c:v>0.5543772102620389</c:v>
                </c:pt>
                <c:pt idx="3923">
                  <c:v>0.56587991751419409</c:v>
                </c:pt>
                <c:pt idx="3924">
                  <c:v>0.58656570192190871</c:v>
                </c:pt>
                <c:pt idx="3925">
                  <c:v>0.55156014353145411</c:v>
                </c:pt>
                <c:pt idx="3926">
                  <c:v>0.57710501364781674</c:v>
                </c:pt>
                <c:pt idx="3927">
                  <c:v>0.57450120953750572</c:v>
                </c:pt>
                <c:pt idx="3928">
                  <c:v>0.58447698261004144</c:v>
                </c:pt>
                <c:pt idx="3929">
                  <c:v>0.59893444551165909</c:v>
                </c:pt>
                <c:pt idx="3930">
                  <c:v>0.5860187494777882</c:v>
                </c:pt>
                <c:pt idx="3931">
                  <c:v>0.58541955418369285</c:v>
                </c:pt>
                <c:pt idx="3932">
                  <c:v>0.58807025956533521</c:v>
                </c:pt>
                <c:pt idx="3933">
                  <c:v>0.61350556259715605</c:v>
                </c:pt>
                <c:pt idx="3934">
                  <c:v>0.61043870160412539</c:v>
                </c:pt>
                <c:pt idx="3935">
                  <c:v>0.58752766978376025</c:v>
                </c:pt>
                <c:pt idx="3936">
                  <c:v>0.60512849056538454</c:v>
                </c:pt>
                <c:pt idx="3937">
                  <c:v>0.60153722055652925</c:v>
                </c:pt>
                <c:pt idx="3938">
                  <c:v>0.61074499125143744</c:v>
                </c:pt>
                <c:pt idx="3939">
                  <c:v>0.60560905361590578</c:v>
                </c:pt>
                <c:pt idx="3940">
                  <c:v>0.61384351255689285</c:v>
                </c:pt>
                <c:pt idx="3941">
                  <c:v>0.62323646818105816</c:v>
                </c:pt>
                <c:pt idx="3942">
                  <c:v>0.62816027769122385</c:v>
                </c:pt>
                <c:pt idx="3943">
                  <c:v>0.54242778463628716</c:v>
                </c:pt>
                <c:pt idx="3944">
                  <c:v>0.61158397163330613</c:v>
                </c:pt>
                <c:pt idx="3945">
                  <c:v>0.59802385315952822</c:v>
                </c:pt>
                <c:pt idx="3946">
                  <c:v>0.59319786969614141</c:v>
                </c:pt>
                <c:pt idx="3947">
                  <c:v>0.5880171076438675</c:v>
                </c:pt>
                <c:pt idx="3948">
                  <c:v>0.56943489385737689</c:v>
                </c:pt>
                <c:pt idx="3949">
                  <c:v>0.5990127386570393</c:v>
                </c:pt>
                <c:pt idx="3950">
                  <c:v>0.59139165236458324</c:v>
                </c:pt>
                <c:pt idx="3951">
                  <c:v>0.61735790986781558</c:v>
                </c:pt>
                <c:pt idx="3952">
                  <c:v>0.63884084321305423</c:v>
                </c:pt>
                <c:pt idx="3953">
                  <c:v>0.6592498977078779</c:v>
                </c:pt>
                <c:pt idx="3954">
                  <c:v>0.64839065449921063</c:v>
                </c:pt>
                <c:pt idx="3955">
                  <c:v>0.64281003764096245</c:v>
                </c:pt>
                <c:pt idx="3956">
                  <c:v>0.64302685920936031</c:v>
                </c:pt>
                <c:pt idx="3957">
                  <c:v>0.66988620487805584</c:v>
                </c:pt>
                <c:pt idx="3958">
                  <c:v>0.65489018186979453</c:v>
                </c:pt>
                <c:pt idx="3959">
                  <c:v>0.64462132892092072</c:v>
                </c:pt>
                <c:pt idx="3960">
                  <c:v>0.64827480282873473</c:v>
                </c:pt>
                <c:pt idx="3961">
                  <c:v>0.68251537797330664</c:v>
                </c:pt>
                <c:pt idx="3962">
                  <c:v>0.68233392180795505</c:v>
                </c:pt>
                <c:pt idx="3963">
                  <c:v>0.66140933297450655</c:v>
                </c:pt>
                <c:pt idx="3964">
                  <c:v>0.66397884144055885</c:v>
                </c:pt>
                <c:pt idx="3965">
                  <c:v>0.65062190847122947</c:v>
                </c:pt>
                <c:pt idx="3966">
                  <c:v>0.42933182801618108</c:v>
                </c:pt>
                <c:pt idx="3967">
                  <c:v>0.56137905243527697</c:v>
                </c:pt>
                <c:pt idx="3968">
                  <c:v>0.56134578448099337</c:v>
                </c:pt>
                <c:pt idx="3969">
                  <c:v>0.56008879908021791</c:v>
                </c:pt>
                <c:pt idx="3970">
                  <c:v>0.55644892982939409</c:v>
                </c:pt>
                <c:pt idx="3971">
                  <c:v>0.54441174545721305</c:v>
                </c:pt>
                <c:pt idx="3972">
                  <c:v>0.54709566657616171</c:v>
                </c:pt>
                <c:pt idx="3973">
                  <c:v>0.54198402237841714</c:v>
                </c:pt>
                <c:pt idx="3974">
                  <c:v>0.5766865749891763</c:v>
                </c:pt>
                <c:pt idx="3975">
                  <c:v>0.57892673459761934</c:v>
                </c:pt>
                <c:pt idx="3976">
                  <c:v>0.5780880282741595</c:v>
                </c:pt>
                <c:pt idx="3977">
                  <c:v>0.56822555092143356</c:v>
                </c:pt>
                <c:pt idx="3978">
                  <c:v>0.56793848532405755</c:v>
                </c:pt>
                <c:pt idx="3979">
                  <c:v>0.58560126025616754</c:v>
                </c:pt>
                <c:pt idx="3980">
                  <c:v>0.59113631537442046</c:v>
                </c:pt>
                <c:pt idx="3981">
                  <c:v>0.57627130449240649</c:v>
                </c:pt>
                <c:pt idx="3982">
                  <c:v>0.5839213918318773</c:v>
                </c:pt>
                <c:pt idx="3983">
                  <c:v>0.52293537358869224</c:v>
                </c:pt>
                <c:pt idx="3984">
                  <c:v>0.56228013289737733</c:v>
                </c:pt>
                <c:pt idx="3985">
                  <c:v>0.58658032890125567</c:v>
                </c:pt>
                <c:pt idx="3986">
                  <c:v>0.58061835358539671</c:v>
                </c:pt>
                <c:pt idx="3987">
                  <c:v>0.59503710412251787</c:v>
                </c:pt>
                <c:pt idx="3988">
                  <c:v>0.59020652939827534</c:v>
                </c:pt>
                <c:pt idx="3989">
                  <c:v>0.59187364516062013</c:v>
                </c:pt>
                <c:pt idx="3990">
                  <c:v>0.59671747196941738</c:v>
                </c:pt>
                <c:pt idx="3991">
                  <c:v>0.61450723006564634</c:v>
                </c:pt>
                <c:pt idx="3992">
                  <c:v>0.53294028346258504</c:v>
                </c:pt>
                <c:pt idx="3993">
                  <c:v>0.5822769332516583</c:v>
                </c:pt>
                <c:pt idx="3994">
                  <c:v>0.56853447740934426</c:v>
                </c:pt>
                <c:pt idx="3995">
                  <c:v>0.571002325160058</c:v>
                </c:pt>
                <c:pt idx="3996">
                  <c:v>0.5585454995346617</c:v>
                </c:pt>
                <c:pt idx="3997">
                  <c:v>0.54908422463630324</c:v>
                </c:pt>
                <c:pt idx="3998">
                  <c:v>0.58735463006633715</c:v>
                </c:pt>
                <c:pt idx="3999">
                  <c:v>0.58106287932281397</c:v>
                </c:pt>
                <c:pt idx="4000">
                  <c:v>0.60637706514395251</c:v>
                </c:pt>
                <c:pt idx="4001">
                  <c:v>0.6251663923113796</c:v>
                </c:pt>
                <c:pt idx="4002">
                  <c:v>0.65074655067067022</c:v>
                </c:pt>
                <c:pt idx="4003">
                  <c:v>0.64069495400391308</c:v>
                </c:pt>
                <c:pt idx="4004">
                  <c:v>0.62853891457198952</c:v>
                </c:pt>
                <c:pt idx="4005">
                  <c:v>0.6270424736336464</c:v>
                </c:pt>
                <c:pt idx="4006">
                  <c:v>0.65265915975818201</c:v>
                </c:pt>
                <c:pt idx="4007">
                  <c:v>0.64777229119670898</c:v>
                </c:pt>
                <c:pt idx="4008">
                  <c:v>0.62995762642869291</c:v>
                </c:pt>
                <c:pt idx="4009">
                  <c:v>0.63153995255979034</c:v>
                </c:pt>
                <c:pt idx="4010">
                  <c:v>0.66562638789557482</c:v>
                </c:pt>
                <c:pt idx="4011">
                  <c:v>0.67002614472253785</c:v>
                </c:pt>
                <c:pt idx="4012">
                  <c:v>0.65002353578812244</c:v>
                </c:pt>
                <c:pt idx="4013">
                  <c:v>0.65764519410102817</c:v>
                </c:pt>
                <c:pt idx="4014">
                  <c:v>0.64647371748127969</c:v>
                </c:pt>
                <c:pt idx="4015">
                  <c:v>0.44799045804683557</c:v>
                </c:pt>
                <c:pt idx="4016">
                  <c:v>0.55686659645191494</c:v>
                </c:pt>
                <c:pt idx="4017">
                  <c:v>0.55440568506488752</c:v>
                </c:pt>
                <c:pt idx="4018">
                  <c:v>0.55196157846751126</c:v>
                </c:pt>
                <c:pt idx="4019">
                  <c:v>0.54632953546070417</c:v>
                </c:pt>
                <c:pt idx="4020">
                  <c:v>0.54268217326413559</c:v>
                </c:pt>
                <c:pt idx="4021">
                  <c:v>0.54317471308330623</c:v>
                </c:pt>
                <c:pt idx="4022">
                  <c:v>0.54573019278150769</c:v>
                </c:pt>
                <c:pt idx="4023">
                  <c:v>0.58677077220873475</c:v>
                </c:pt>
                <c:pt idx="4024">
                  <c:v>0.5899554067658408</c:v>
                </c:pt>
                <c:pt idx="4025">
                  <c:v>0.58822743456767757</c:v>
                </c:pt>
                <c:pt idx="4026">
                  <c:v>0.57501501678166245</c:v>
                </c:pt>
                <c:pt idx="4027">
                  <c:v>0.57081218902785247</c:v>
                </c:pt>
                <c:pt idx="4028">
                  <c:v>0.59650923831222702</c:v>
                </c:pt>
                <c:pt idx="4029">
                  <c:v>0.59600627332636369</c:v>
                </c:pt>
                <c:pt idx="4030">
                  <c:v>0.58281284018323565</c:v>
                </c:pt>
                <c:pt idx="4031">
                  <c:v>0.59015531216955608</c:v>
                </c:pt>
                <c:pt idx="4032">
                  <c:v>0.59514853687636116</c:v>
                </c:pt>
                <c:pt idx="4033">
                  <c:v>0.58081849778236327</c:v>
                </c:pt>
                <c:pt idx="4034">
                  <c:v>0.60397091116996882</c:v>
                </c:pt>
                <c:pt idx="4035">
                  <c:v>0.5616560671684484</c:v>
                </c:pt>
                <c:pt idx="4036">
                  <c:v>0.57203437241303756</c:v>
                </c:pt>
                <c:pt idx="4037">
                  <c:v>0.57744974706575503</c:v>
                </c:pt>
                <c:pt idx="4038">
                  <c:v>0.5782860159132085</c:v>
                </c:pt>
                <c:pt idx="4039">
                  <c:v>0.53763728275167311</c:v>
                </c:pt>
                <c:pt idx="4040">
                  <c:v>0.54125764714969049</c:v>
                </c:pt>
                <c:pt idx="4041">
                  <c:v>0.5691726359701802</c:v>
                </c:pt>
                <c:pt idx="4042">
                  <c:v>0.56842104607983468</c:v>
                </c:pt>
                <c:pt idx="4043">
                  <c:v>0.58978344353178658</c:v>
                </c:pt>
                <c:pt idx="4044">
                  <c:v>0.58535648632316128</c:v>
                </c:pt>
                <c:pt idx="4045">
                  <c:v>0.58536336894992058</c:v>
                </c:pt>
                <c:pt idx="4046">
                  <c:v>0.58878224902319409</c:v>
                </c:pt>
                <c:pt idx="4047">
                  <c:v>0.58961051833290001</c:v>
                </c:pt>
                <c:pt idx="4048">
                  <c:v>0.63060409976711429</c:v>
                </c:pt>
                <c:pt idx="4049">
                  <c:v>0.65407484150705553</c:v>
                </c:pt>
                <c:pt idx="4050">
                  <c:v>0.66673460577099364</c:v>
                </c:pt>
                <c:pt idx="4051">
                  <c:v>0.67023889317088903</c:v>
                </c:pt>
                <c:pt idx="4052">
                  <c:v>0.64576819153849385</c:v>
                </c:pt>
                <c:pt idx="4053">
                  <c:v>0.63808602456981811</c:v>
                </c:pt>
                <c:pt idx="4054">
                  <c:v>0.64762831630770001</c:v>
                </c:pt>
                <c:pt idx="4055">
                  <c:v>0.62275836366939374</c:v>
                </c:pt>
                <c:pt idx="4056">
                  <c:v>0.62496497932352169</c:v>
                </c:pt>
                <c:pt idx="4057">
                  <c:v>0.64594674140952457</c:v>
                </c:pt>
                <c:pt idx="4058">
                  <c:v>0.66003468832912005</c:v>
                </c:pt>
                <c:pt idx="4059">
                  <c:v>0.65187204812082533</c:v>
                </c:pt>
                <c:pt idx="4060">
                  <c:v>0.65233425497403552</c:v>
                </c:pt>
                <c:pt idx="4061">
                  <c:v>0.64589482326049352</c:v>
                </c:pt>
                <c:pt idx="4062">
                  <c:v>0.62014855247687062</c:v>
                </c:pt>
                <c:pt idx="4063">
                  <c:v>0.59398270574160372</c:v>
                </c:pt>
                <c:pt idx="4064">
                  <c:v>0.61329750329662103</c:v>
                </c:pt>
                <c:pt idx="4065">
                  <c:v>0.55410254462298325</c:v>
                </c:pt>
                <c:pt idx="4066">
                  <c:v>0.54969047364143653</c:v>
                </c:pt>
                <c:pt idx="4067">
                  <c:v>0.55182557345079375</c:v>
                </c:pt>
                <c:pt idx="4068">
                  <c:v>0.56227692020199616</c:v>
                </c:pt>
                <c:pt idx="4069">
                  <c:v>0.56911290332911457</c:v>
                </c:pt>
                <c:pt idx="4070">
                  <c:v>0.56804311893474113</c:v>
                </c:pt>
                <c:pt idx="4071">
                  <c:v>0.56362582609960088</c:v>
                </c:pt>
                <c:pt idx="4072">
                  <c:v>0.55877454948932404</c:v>
                </c:pt>
                <c:pt idx="4073">
                  <c:v>0.56600475000718053</c:v>
                </c:pt>
                <c:pt idx="4074">
                  <c:v>0.57478558978812522</c:v>
                </c:pt>
                <c:pt idx="4075">
                  <c:v>0.58177051333655083</c:v>
                </c:pt>
                <c:pt idx="4076">
                  <c:v>0.57099007963509529</c:v>
                </c:pt>
                <c:pt idx="4077">
                  <c:v>0.66885546501617599</c:v>
                </c:pt>
                <c:pt idx="4078">
                  <c:v>0.6844324959714142</c:v>
                </c:pt>
                <c:pt idx="4079">
                  <c:v>0.6108594883131182</c:v>
                </c:pt>
                <c:pt idx="4080">
                  <c:v>0.59691286132368826</c:v>
                </c:pt>
                <c:pt idx="4081">
                  <c:v>0.59405747290727118</c:v>
                </c:pt>
                <c:pt idx="4082">
                  <c:v>0.60540601056531373</c:v>
                </c:pt>
                <c:pt idx="4083">
                  <c:v>0.56611975764195066</c:v>
                </c:pt>
                <c:pt idx="4084">
                  <c:v>0.5759741758794098</c:v>
                </c:pt>
                <c:pt idx="4085">
                  <c:v>0.58066226776057084</c:v>
                </c:pt>
                <c:pt idx="4086">
                  <c:v>0.58050073297415572</c:v>
                </c:pt>
                <c:pt idx="4087">
                  <c:v>0.54460028719498521</c:v>
                </c:pt>
                <c:pt idx="4088">
                  <c:v>0.53330943711248546</c:v>
                </c:pt>
                <c:pt idx="4089">
                  <c:v>0.57108908356157906</c:v>
                </c:pt>
                <c:pt idx="4090">
                  <c:v>0.56825559671663717</c:v>
                </c:pt>
                <c:pt idx="4091">
                  <c:v>0.59157588258555882</c:v>
                </c:pt>
                <c:pt idx="4092">
                  <c:v>0.58966392248046107</c:v>
                </c:pt>
                <c:pt idx="4093">
                  <c:v>0.78658356185842437</c:v>
                </c:pt>
                <c:pt idx="4094">
                  <c:v>0.62466825019857497</c:v>
                </c:pt>
                <c:pt idx="4095">
                  <c:v>0.57704164673056391</c:v>
                </c:pt>
                <c:pt idx="4096">
                  <c:v>0.61998001420267179</c:v>
                </c:pt>
                <c:pt idx="4097">
                  <c:v>0.64244067790882609</c:v>
                </c:pt>
                <c:pt idx="4098">
                  <c:v>0.64962980613039445</c:v>
                </c:pt>
                <c:pt idx="4099">
                  <c:v>0.66448656056981958</c:v>
                </c:pt>
                <c:pt idx="4100">
                  <c:v>0.63961317321672984</c:v>
                </c:pt>
                <c:pt idx="4101">
                  <c:v>0.6271702776162944</c:v>
                </c:pt>
                <c:pt idx="4102">
                  <c:v>0.6414572539984521</c:v>
                </c:pt>
                <c:pt idx="4103">
                  <c:v>0.62020405787407296</c:v>
                </c:pt>
                <c:pt idx="4104">
                  <c:v>0.61303101645454283</c:v>
                </c:pt>
                <c:pt idx="4105">
                  <c:v>0.63855274916163973</c:v>
                </c:pt>
                <c:pt idx="4106">
                  <c:v>0.65346404219282761</c:v>
                </c:pt>
                <c:pt idx="4107">
                  <c:v>0.64997599204111178</c:v>
                </c:pt>
                <c:pt idx="4108">
                  <c:v>0.64149324680281372</c:v>
                </c:pt>
                <c:pt idx="4109">
                  <c:v>0.64399836012914502</c:v>
                </c:pt>
                <c:pt idx="4110">
                  <c:v>0.61707313704142119</c:v>
                </c:pt>
                <c:pt idx="4111">
                  <c:v>0.58741796992863926</c:v>
                </c:pt>
                <c:pt idx="4112">
                  <c:v>0.6117708760447127</c:v>
                </c:pt>
                <c:pt idx="4113">
                  <c:v>0.54750851080334395</c:v>
                </c:pt>
                <c:pt idx="4114">
                  <c:v>0.5411774605523495</c:v>
                </c:pt>
                <c:pt idx="4115">
                  <c:v>0.54943304990150821</c:v>
                </c:pt>
                <c:pt idx="4116">
                  <c:v>0.55462057931246211</c:v>
                </c:pt>
                <c:pt idx="4117">
                  <c:v>0.57083085638219133</c:v>
                </c:pt>
                <c:pt idx="4118">
                  <c:v>0.56174352134928918</c:v>
                </c:pt>
                <c:pt idx="4119">
                  <c:v>0.5673967120093345</c:v>
                </c:pt>
                <c:pt idx="4120">
                  <c:v>0.55640937231417975</c:v>
                </c:pt>
                <c:pt idx="4121">
                  <c:v>0.56738189482946311</c:v>
                </c:pt>
                <c:pt idx="4122">
                  <c:v>0.57408662226982432</c:v>
                </c:pt>
                <c:pt idx="4123">
                  <c:v>0.58614209347188506</c:v>
                </c:pt>
                <c:pt idx="4124">
                  <c:v>0.5732641477200846</c:v>
                </c:pt>
                <c:pt idx="4125">
                  <c:v>0.66432441089407634</c:v>
                </c:pt>
                <c:pt idx="4126">
                  <c:v>0.6903518663083571</c:v>
                </c:pt>
                <c:pt idx="4127">
                  <c:v>0.70593705740228596</c:v>
                </c:pt>
                <c:pt idx="4128">
                  <c:v>0.7239346095339928</c:v>
                </c:pt>
                <c:pt idx="4129">
                  <c:v>0.57359188695924301</c:v>
                </c:pt>
                <c:pt idx="4130">
                  <c:v>0.58855135847047202</c:v>
                </c:pt>
                <c:pt idx="4131">
                  <c:v>0.57231455854665125</c:v>
                </c:pt>
                <c:pt idx="4132">
                  <c:v>0.57826823971510133</c:v>
                </c:pt>
                <c:pt idx="4133">
                  <c:v>0.5919429974144127</c:v>
                </c:pt>
                <c:pt idx="4134">
                  <c:v>0.57783427485888939</c:v>
                </c:pt>
                <c:pt idx="4135">
                  <c:v>0.51718494144641969</c:v>
                </c:pt>
                <c:pt idx="4136">
                  <c:v>0.58019552380481854</c:v>
                </c:pt>
                <c:pt idx="4137">
                  <c:v>0.54897111813732458</c:v>
                </c:pt>
                <c:pt idx="4138">
                  <c:v>0.56813575324615728</c:v>
                </c:pt>
                <c:pt idx="4139">
                  <c:v>0.54612470073945452</c:v>
                </c:pt>
                <c:pt idx="4140">
                  <c:v>0.55709195748090856</c:v>
                </c:pt>
                <c:pt idx="4141">
                  <c:v>0.59153150092831841</c:v>
                </c:pt>
                <c:pt idx="4142">
                  <c:v>0.58522659860393222</c:v>
                </c:pt>
                <c:pt idx="4143">
                  <c:v>0.6121472018416797</c:v>
                </c:pt>
                <c:pt idx="4144">
                  <c:v>0.65001186909283903</c:v>
                </c:pt>
                <c:pt idx="4145">
                  <c:v>0.66674470919104656</c:v>
                </c:pt>
                <c:pt idx="4146">
                  <c:v>0.6618549775157595</c:v>
                </c:pt>
                <c:pt idx="4147">
                  <c:v>0.65355817110105563</c:v>
                </c:pt>
                <c:pt idx="4148">
                  <c:v>0.64997239444966426</c:v>
                </c:pt>
                <c:pt idx="4149">
                  <c:v>0.65223028438490371</c:v>
                </c:pt>
                <c:pt idx="4150">
                  <c:v>0.64227651611172809</c:v>
                </c:pt>
                <c:pt idx="4151">
                  <c:v>0.62489709981551356</c:v>
                </c:pt>
                <c:pt idx="4152">
                  <c:v>0.64672045940295841</c:v>
                </c:pt>
                <c:pt idx="4153">
                  <c:v>0.66468380493654955</c:v>
                </c:pt>
                <c:pt idx="4154">
                  <c:v>0.68003938502877148</c:v>
                </c:pt>
                <c:pt idx="4155">
                  <c:v>0.65377345285246835</c:v>
                </c:pt>
                <c:pt idx="4156">
                  <c:v>0.66754699314709709</c:v>
                </c:pt>
                <c:pt idx="4157">
                  <c:v>0.65052587851995181</c:v>
                </c:pt>
                <c:pt idx="4158">
                  <c:v>0.60205228253249288</c:v>
                </c:pt>
                <c:pt idx="4159">
                  <c:v>0.57168845558421932</c:v>
                </c:pt>
                <c:pt idx="4160">
                  <c:v>0.59192532697808786</c:v>
                </c:pt>
                <c:pt idx="4161">
                  <c:v>0.57746824619091297</c:v>
                </c:pt>
                <c:pt idx="4162">
                  <c:v>0.56710615602648418</c:v>
                </c:pt>
                <c:pt idx="4163">
                  <c:v>0.57820458348976211</c:v>
                </c:pt>
                <c:pt idx="4164">
                  <c:v>0.61139688048616692</c:v>
                </c:pt>
                <c:pt idx="4165">
                  <c:v>0.60505927154353945</c:v>
                </c:pt>
                <c:pt idx="4166">
                  <c:v>0.5980023735061254</c:v>
                </c:pt>
                <c:pt idx="4167">
                  <c:v>0.59541652037294157</c:v>
                </c:pt>
                <c:pt idx="4168">
                  <c:v>0.59239318426409282</c:v>
                </c:pt>
                <c:pt idx="4169">
                  <c:v>0.58963543363734705</c:v>
                </c:pt>
                <c:pt idx="4170">
                  <c:v>0.60209777330439584</c:v>
                </c:pt>
                <c:pt idx="4171">
                  <c:v>0.60302078146907323</c:v>
                </c:pt>
                <c:pt idx="4172">
                  <c:v>0.61620151211234042</c:v>
                </c:pt>
                <c:pt idx="4173">
                  <c:v>0.6019360911548971</c:v>
                </c:pt>
                <c:pt idx="4174">
                  <c:v>0.61154944923478061</c:v>
                </c:pt>
                <c:pt idx="4175">
                  <c:v>0.56085935215124449</c:v>
                </c:pt>
                <c:pt idx="4176">
                  <c:v>0.71459536947446745</c:v>
                </c:pt>
                <c:pt idx="4177">
                  <c:v>0.67869761371316828</c:v>
                </c:pt>
                <c:pt idx="4178">
                  <c:v>0.58439794677943591</c:v>
                </c:pt>
                <c:pt idx="4179">
                  <c:v>0.59141891357360155</c:v>
                </c:pt>
                <c:pt idx="4180">
                  <c:v>0.57369342896985198</c:v>
                </c:pt>
                <c:pt idx="4181">
                  <c:v>0.58471242186441064</c:v>
                </c:pt>
                <c:pt idx="4182">
                  <c:v>0.58474654600874443</c:v>
                </c:pt>
                <c:pt idx="4183">
                  <c:v>0.55134324112464483</c:v>
                </c:pt>
                <c:pt idx="4184">
                  <c:v>0.52899687032038367</c:v>
                </c:pt>
                <c:pt idx="4185">
                  <c:v>0.55768076470902761</c:v>
                </c:pt>
                <c:pt idx="4186">
                  <c:v>0.56553059706699982</c:v>
                </c:pt>
                <c:pt idx="4187">
                  <c:v>0.54721961033193056</c:v>
                </c:pt>
                <c:pt idx="4188">
                  <c:v>0.54900093106044878</c:v>
                </c:pt>
                <c:pt idx="4189">
                  <c:v>0.56710003696864297</c:v>
                </c:pt>
                <c:pt idx="4190">
                  <c:v>0.57720458797980534</c:v>
                </c:pt>
                <c:pt idx="4191">
                  <c:v>0.59301587841307379</c:v>
                </c:pt>
                <c:pt idx="4192">
                  <c:v>0.62553160116809881</c:v>
                </c:pt>
                <c:pt idx="4193">
                  <c:v>0.64128865294786308</c:v>
                </c:pt>
                <c:pt idx="4194">
                  <c:v>0.64859095519226073</c:v>
                </c:pt>
                <c:pt idx="4195">
                  <c:v>0.6516733521942607</c:v>
                </c:pt>
                <c:pt idx="4196">
                  <c:v>0.6423353008849938</c:v>
                </c:pt>
                <c:pt idx="4197">
                  <c:v>0.64137930894211448</c:v>
                </c:pt>
                <c:pt idx="4198">
                  <c:v>0.65030004193213031</c:v>
                </c:pt>
                <c:pt idx="4199">
                  <c:v>0.62580862158845785</c:v>
                </c:pt>
                <c:pt idx="4200">
                  <c:v>0.6253477488180228</c:v>
                </c:pt>
                <c:pt idx="4201">
                  <c:v>0.64550027813870026</c:v>
                </c:pt>
                <c:pt idx="4202">
                  <c:v>0.66187635846991977</c:v>
                </c:pt>
                <c:pt idx="4203">
                  <c:v>0.66801894128440376</c:v>
                </c:pt>
                <c:pt idx="4204">
                  <c:v>0.6467440679407781</c:v>
                </c:pt>
                <c:pt idx="4205">
                  <c:v>0.65943564451199754</c:v>
                </c:pt>
                <c:pt idx="4206">
                  <c:v>0.63132452460300081</c:v>
                </c:pt>
                <c:pt idx="4207">
                  <c:v>0.58243383312909192</c:v>
                </c:pt>
                <c:pt idx="4208">
                  <c:v>0.5751923495545106</c:v>
                </c:pt>
                <c:pt idx="4209">
                  <c:v>0.57680454255457403</c:v>
                </c:pt>
                <c:pt idx="4210">
                  <c:v>0.57582772665401616</c:v>
                </c:pt>
                <c:pt idx="4211">
                  <c:v>0.56723957712054629</c:v>
                </c:pt>
                <c:pt idx="4212">
                  <c:v>0.58114673979731402</c:v>
                </c:pt>
                <c:pt idx="4213">
                  <c:v>0.59909768606215785</c:v>
                </c:pt>
                <c:pt idx="4214">
                  <c:v>0.62187474691076217</c:v>
                </c:pt>
                <c:pt idx="4215">
                  <c:v>0.58932495169203936</c:v>
                </c:pt>
                <c:pt idx="4216">
                  <c:v>0.59973835588394764</c:v>
                </c:pt>
                <c:pt idx="4217">
                  <c:v>0.60008849496791294</c:v>
                </c:pt>
                <c:pt idx="4218">
                  <c:v>0.59573810277686223</c:v>
                </c:pt>
                <c:pt idx="4219">
                  <c:v>0.61084086863446418</c:v>
                </c:pt>
                <c:pt idx="4220">
                  <c:v>0.62266373571399991</c:v>
                </c:pt>
                <c:pt idx="4221">
                  <c:v>0.61143757781037977</c:v>
                </c:pt>
                <c:pt idx="4222">
                  <c:v>0.6144203899614703</c:v>
                </c:pt>
                <c:pt idx="4223">
                  <c:v>0.62584624324931559</c:v>
                </c:pt>
                <c:pt idx="4224">
                  <c:v>0.62724856075861302</c:v>
                </c:pt>
                <c:pt idx="4225">
                  <c:v>0.62759482510623055</c:v>
                </c:pt>
                <c:pt idx="4226">
                  <c:v>0.62081529333510288</c:v>
                </c:pt>
                <c:pt idx="4227">
                  <c:v>0.62438307561478867</c:v>
                </c:pt>
                <c:pt idx="4228">
                  <c:v>0.64045708797022805</c:v>
                </c:pt>
                <c:pt idx="4229">
                  <c:v>0.63453198177321013</c:v>
                </c:pt>
                <c:pt idx="4230">
                  <c:v>0.5947427179496283</c:v>
                </c:pt>
                <c:pt idx="4231">
                  <c:v>0.58968481311107557</c:v>
                </c:pt>
                <c:pt idx="4232">
                  <c:v>0.63380828427004887</c:v>
                </c:pt>
                <c:pt idx="4233">
                  <c:v>0.63626918956792577</c:v>
                </c:pt>
                <c:pt idx="4234">
                  <c:v>0.6039763159833369</c:v>
                </c:pt>
                <c:pt idx="4235">
                  <c:v>0.60289943078567942</c:v>
                </c:pt>
                <c:pt idx="4236">
                  <c:v>0.60948704945790244</c:v>
                </c:pt>
                <c:pt idx="4237">
                  <c:v>0.60684314864680922</c:v>
                </c:pt>
                <c:pt idx="4238">
                  <c:v>0.60090649471261937</c:v>
                </c:pt>
                <c:pt idx="4239">
                  <c:v>0.63376004196565883</c:v>
                </c:pt>
                <c:pt idx="4240">
                  <c:v>0.64628469557838952</c:v>
                </c:pt>
                <c:pt idx="4241">
                  <c:v>0.64868985190628259</c:v>
                </c:pt>
                <c:pt idx="4242">
                  <c:v>0.65401935853786997</c:v>
                </c:pt>
                <c:pt idx="4243">
                  <c:v>0.65591639302726179</c:v>
                </c:pt>
                <c:pt idx="4244">
                  <c:v>0.65754640499632311</c:v>
                </c:pt>
                <c:pt idx="4245">
                  <c:v>0.67035784577817636</c:v>
                </c:pt>
                <c:pt idx="4246">
                  <c:v>0.64050469147568789</c:v>
                </c:pt>
                <c:pt idx="4247">
                  <c:v>0.63971274157651703</c:v>
                </c:pt>
                <c:pt idx="4248">
                  <c:v>0.64642166623406028</c:v>
                </c:pt>
                <c:pt idx="4249">
                  <c:v>0.65917812792310304</c:v>
                </c:pt>
                <c:pt idx="4250">
                  <c:v>0.66022266390586559</c:v>
                </c:pt>
                <c:pt idx="4251">
                  <c:v>0.65335387774700959</c:v>
                </c:pt>
                <c:pt idx="4252">
                  <c:v>0.64070627770891231</c:v>
                </c:pt>
                <c:pt idx="4253">
                  <c:v>0.62782438920625994</c:v>
                </c:pt>
                <c:pt idx="4254">
                  <c:v>0.58628735790508513</c:v>
                </c:pt>
                <c:pt idx="4255">
                  <c:v>0.58041891595705608</c:v>
                </c:pt>
                <c:pt idx="4256">
                  <c:v>0.57693363715474277</c:v>
                </c:pt>
                <c:pt idx="4257">
                  <c:v>0.59052864658856863</c:v>
                </c:pt>
                <c:pt idx="4258">
                  <c:v>0.58190496433982319</c:v>
                </c:pt>
                <c:pt idx="4259">
                  <c:v>0.59927572651338046</c:v>
                </c:pt>
                <c:pt idx="4260">
                  <c:v>0.59424919848946212</c:v>
                </c:pt>
                <c:pt idx="4261">
                  <c:v>0.58815322635532108</c:v>
                </c:pt>
                <c:pt idx="4262">
                  <c:v>0.59549423773457644</c:v>
                </c:pt>
                <c:pt idx="4263">
                  <c:v>0.61365263539022852</c:v>
                </c:pt>
                <c:pt idx="4264">
                  <c:v>0.60067913056243649</c:v>
                </c:pt>
                <c:pt idx="4265">
                  <c:v>0.6286534114802379</c:v>
                </c:pt>
                <c:pt idx="4266">
                  <c:v>0.63468227728192383</c:v>
                </c:pt>
                <c:pt idx="4267">
                  <c:v>0.62026715670716936</c:v>
                </c:pt>
                <c:pt idx="4268">
                  <c:v>0.6315124592265422</c:v>
                </c:pt>
                <c:pt idx="4269">
                  <c:v>0.62536194947864743</c:v>
                </c:pt>
                <c:pt idx="4270">
                  <c:v>0.58599171049664234</c:v>
                </c:pt>
                <c:pt idx="4271">
                  <c:v>0.63060847142815479</c:v>
                </c:pt>
                <c:pt idx="4272">
                  <c:v>0.64301263175969237</c:v>
                </c:pt>
                <c:pt idx="4273">
                  <c:v>0.62864299463336748</c:v>
                </c:pt>
                <c:pt idx="4274">
                  <c:v>0.6337816406473088</c:v>
                </c:pt>
                <c:pt idx="4275">
                  <c:v>0.61811475318328046</c:v>
                </c:pt>
                <c:pt idx="4276">
                  <c:v>0.64203327635192886</c:v>
                </c:pt>
                <c:pt idx="4277">
                  <c:v>0.67734082020577346</c:v>
                </c:pt>
                <c:pt idx="4278">
                  <c:v>0.63747732092147569</c:v>
                </c:pt>
                <c:pt idx="4279">
                  <c:v>0.56041563561244512</c:v>
                </c:pt>
                <c:pt idx="4280">
                  <c:v>0.65874935629309606</c:v>
                </c:pt>
                <c:pt idx="4281">
                  <c:v>0.63470735504772169</c:v>
                </c:pt>
                <c:pt idx="4282">
                  <c:v>0.62276053759238381</c:v>
                </c:pt>
                <c:pt idx="4283">
                  <c:v>0.60119608093123911</c:v>
                </c:pt>
                <c:pt idx="4284">
                  <c:v>0.61286445853258609</c:v>
                </c:pt>
                <c:pt idx="4285">
                  <c:v>0.62348364277312618</c:v>
                </c:pt>
                <c:pt idx="4286">
                  <c:v>0.60001966784928329</c:v>
                </c:pt>
                <c:pt idx="4287">
                  <c:v>0.62151174337212012</c:v>
                </c:pt>
                <c:pt idx="4288">
                  <c:v>0.63469345670580046</c:v>
                </c:pt>
                <c:pt idx="4289">
                  <c:v>0.64632646787263337</c:v>
                </c:pt>
                <c:pt idx="4290">
                  <c:v>0.65248702239867429</c:v>
                </c:pt>
                <c:pt idx="4291">
                  <c:v>0.64666598833642919</c:v>
                </c:pt>
                <c:pt idx="4292">
                  <c:v>0.65192499899249656</c:v>
                </c:pt>
                <c:pt idx="4293">
                  <c:v>0.65821188942744846</c:v>
                </c:pt>
                <c:pt idx="4294">
                  <c:v>0.65639798221969481</c:v>
                </c:pt>
                <c:pt idx="4295">
                  <c:v>0.62722438056112595</c:v>
                </c:pt>
                <c:pt idx="4296">
                  <c:v>0.63434938133312624</c:v>
                </c:pt>
                <c:pt idx="4297">
                  <c:v>0.65421034042154824</c:v>
                </c:pt>
                <c:pt idx="4298">
                  <c:v>0.65541084032466534</c:v>
                </c:pt>
                <c:pt idx="4299">
                  <c:v>0.64491683781170839</c:v>
                </c:pt>
                <c:pt idx="4300">
                  <c:v>0.65705633115472806</c:v>
                </c:pt>
                <c:pt idx="4301">
                  <c:v>0.64304859469084485</c:v>
                </c:pt>
                <c:pt idx="4302">
                  <c:v>0.59505310365194897</c:v>
                </c:pt>
                <c:pt idx="4303">
                  <c:v>0.58451994312167188</c:v>
                </c:pt>
                <c:pt idx="4304">
                  <c:v>0.56804264925544279</c:v>
                </c:pt>
                <c:pt idx="4305">
                  <c:v>0.58451722995192101</c:v>
                </c:pt>
                <c:pt idx="4306">
                  <c:v>0.58270001286439599</c:v>
                </c:pt>
                <c:pt idx="4307">
                  <c:v>0.59327687140218743</c:v>
                </c:pt>
                <c:pt idx="4308">
                  <c:v>0.59169510107188938</c:v>
                </c:pt>
                <c:pt idx="4309">
                  <c:v>0.60193815463739375</c:v>
                </c:pt>
                <c:pt idx="4310">
                  <c:v>0.59181639897980765</c:v>
                </c:pt>
                <c:pt idx="4311">
                  <c:v>0.59988732770228326</c:v>
                </c:pt>
                <c:pt idx="4312">
                  <c:v>0.60970067565899144</c:v>
                </c:pt>
                <c:pt idx="4313">
                  <c:v>0.60270454866122103</c:v>
                </c:pt>
                <c:pt idx="4314">
                  <c:v>0.64030927515242608</c:v>
                </c:pt>
                <c:pt idx="4315">
                  <c:v>0.61813431915320549</c:v>
                </c:pt>
                <c:pt idx="4316">
                  <c:v>0.65049354009710769</c:v>
                </c:pt>
                <c:pt idx="4317">
                  <c:v>0.62490647379323039</c:v>
                </c:pt>
                <c:pt idx="4318">
                  <c:v>0.61701995736099835</c:v>
                </c:pt>
                <c:pt idx="4319">
                  <c:v>0.60994426480618424</c:v>
                </c:pt>
                <c:pt idx="4320">
                  <c:v>0.63181864278374444</c:v>
                </c:pt>
                <c:pt idx="4321">
                  <c:v>0.64087162976241852</c:v>
                </c:pt>
                <c:pt idx="4322">
                  <c:v>0.65553373186660024</c:v>
                </c:pt>
                <c:pt idx="4323">
                  <c:v>0.63665476175631286</c:v>
                </c:pt>
                <c:pt idx="4324">
                  <c:v>0.63049865823989859</c:v>
                </c:pt>
                <c:pt idx="4325">
                  <c:v>0.61616893138440698</c:v>
                </c:pt>
                <c:pt idx="4326">
                  <c:v>0.62625750470765573</c:v>
                </c:pt>
                <c:pt idx="4327">
                  <c:v>0.54658066258286098</c:v>
                </c:pt>
                <c:pt idx="4328">
                  <c:v>0.65005970055191553</c:v>
                </c:pt>
                <c:pt idx="4329">
                  <c:v>0.64926815140991323</c:v>
                </c:pt>
                <c:pt idx="4330">
                  <c:v>0.62919545748789019</c:v>
                </c:pt>
                <c:pt idx="4331">
                  <c:v>0.6143954848564851</c:v>
                </c:pt>
                <c:pt idx="4332">
                  <c:v>0.61466546020946311</c:v>
                </c:pt>
                <c:pt idx="4333">
                  <c:v>0.66420247660018528</c:v>
                </c:pt>
                <c:pt idx="4334">
                  <c:v>0.62262117747233003</c:v>
                </c:pt>
                <c:pt idx="4335">
                  <c:v>0.59572113693509354</c:v>
                </c:pt>
                <c:pt idx="4336">
                  <c:v>0.6207827449362241</c:v>
                </c:pt>
                <c:pt idx="4337">
                  <c:v>0.58183057781189462</c:v>
                </c:pt>
                <c:pt idx="4338">
                  <c:v>0.58781845923753073</c:v>
                </c:pt>
                <c:pt idx="4339">
                  <c:v>0.59391445287512257</c:v>
                </c:pt>
                <c:pt idx="4340">
                  <c:v>0.58116679099014934</c:v>
                </c:pt>
                <c:pt idx="4341">
                  <c:v>0.56236758047687951</c:v>
                </c:pt>
                <c:pt idx="4342">
                  <c:v>0.56629663301629596</c:v>
                </c:pt>
                <c:pt idx="4343">
                  <c:v>0.59341201631311336</c:v>
                </c:pt>
                <c:pt idx="4344">
                  <c:v>0.57730965668580891</c:v>
                </c:pt>
                <c:pt idx="4345">
                  <c:v>0.56764911438393273</c:v>
                </c:pt>
                <c:pt idx="4346">
                  <c:v>0.5902502656923081</c:v>
                </c:pt>
                <c:pt idx="4347">
                  <c:v>0.5659563787245524</c:v>
                </c:pt>
                <c:pt idx="4348">
                  <c:v>0.58107837649975702</c:v>
                </c:pt>
                <c:pt idx="4349">
                  <c:v>0.55403063741717296</c:v>
                </c:pt>
                <c:pt idx="4350">
                  <c:v>0.57718412306419831</c:v>
                </c:pt>
                <c:pt idx="4351">
                  <c:v>0.58272476019831276</c:v>
                </c:pt>
                <c:pt idx="4352">
                  <c:v>0.57509011767450446</c:v>
                </c:pt>
                <c:pt idx="4353">
                  <c:v>0.59354745135074316</c:v>
                </c:pt>
                <c:pt idx="4354">
                  <c:v>0.57764492483525798</c:v>
                </c:pt>
                <c:pt idx="4355">
                  <c:v>0.57658745746495921</c:v>
                </c:pt>
                <c:pt idx="4356">
                  <c:v>0.58062531171179443</c:v>
                </c:pt>
                <c:pt idx="4357">
                  <c:v>0.61255870671568835</c:v>
                </c:pt>
                <c:pt idx="4358">
                  <c:v>0.59752527336027728</c:v>
                </c:pt>
                <c:pt idx="4359">
                  <c:v>0.60734606060999408</c:v>
                </c:pt>
                <c:pt idx="4360">
                  <c:v>0.6001888255836153</c:v>
                </c:pt>
                <c:pt idx="4361">
                  <c:v>0.59724793947274624</c:v>
                </c:pt>
                <c:pt idx="4362">
                  <c:v>0.61844119072432613</c:v>
                </c:pt>
                <c:pt idx="4363">
                  <c:v>0.62055036377341044</c:v>
                </c:pt>
                <c:pt idx="4364">
                  <c:v>0.61109785605932643</c:v>
                </c:pt>
                <c:pt idx="4365">
                  <c:v>0.63783232674290202</c:v>
                </c:pt>
                <c:pt idx="4366">
                  <c:v>0.62220770025597572</c:v>
                </c:pt>
                <c:pt idx="4367">
                  <c:v>0.58804760911993914</c:v>
                </c:pt>
                <c:pt idx="4368">
                  <c:v>0.62166671596060419</c:v>
                </c:pt>
                <c:pt idx="4369">
                  <c:v>0.6389958379612436</c:v>
                </c:pt>
                <c:pt idx="4370">
                  <c:v>0.64953530848592467</c:v>
                </c:pt>
                <c:pt idx="4371">
                  <c:v>0.65977515025020561</c:v>
                </c:pt>
                <c:pt idx="4372">
                  <c:v>0.62866158138138684</c:v>
                </c:pt>
                <c:pt idx="4373">
                  <c:v>0.61716133592134492</c:v>
                </c:pt>
                <c:pt idx="4374">
                  <c:v>0.63515830617320812</c:v>
                </c:pt>
                <c:pt idx="4375">
                  <c:v>0.60498357082501375</c:v>
                </c:pt>
                <c:pt idx="4376">
                  <c:v>0.57310459557941862</c:v>
                </c:pt>
                <c:pt idx="4377">
                  <c:v>0.64865903443849815</c:v>
                </c:pt>
                <c:pt idx="4378">
                  <c:v>0.64026552802048098</c:v>
                </c:pt>
                <c:pt idx="4379">
                  <c:v>0.62121139794736302</c:v>
                </c:pt>
                <c:pt idx="4380">
                  <c:v>0.60698369207266478</c:v>
                </c:pt>
                <c:pt idx="4381">
                  <c:v>0.64145021373475575</c:v>
                </c:pt>
                <c:pt idx="4382">
                  <c:v>0.66002613773271834</c:v>
                </c:pt>
                <c:pt idx="4383">
                  <c:v>0.61938930166314121</c:v>
                </c:pt>
                <c:pt idx="4384">
                  <c:v>0.60522723256605393</c:v>
                </c:pt>
                <c:pt idx="4385">
                  <c:v>0.60656128055215919</c:v>
                </c:pt>
                <c:pt idx="4386">
                  <c:v>0.58395750250193001</c:v>
                </c:pt>
                <c:pt idx="4387">
                  <c:v>0.59672846358025244</c:v>
                </c:pt>
                <c:pt idx="4388">
                  <c:v>0.58849300054369347</c:v>
                </c:pt>
                <c:pt idx="4389">
                  <c:v>0.57740114001903375</c:v>
                </c:pt>
                <c:pt idx="4390">
                  <c:v>0.56063080218443184</c:v>
                </c:pt>
                <c:pt idx="4391">
                  <c:v>0.56792039794707105</c:v>
                </c:pt>
                <c:pt idx="4392">
                  <c:v>0.59886981022728358</c:v>
                </c:pt>
                <c:pt idx="4393">
                  <c:v>0.5621331575072569</c:v>
                </c:pt>
                <c:pt idx="4394">
                  <c:v>0.5679954438950543</c:v>
                </c:pt>
                <c:pt idx="4395">
                  <c:v>0.57170487307418805</c:v>
                </c:pt>
                <c:pt idx="4396">
                  <c:v>0.55712663655566641</c:v>
                </c:pt>
                <c:pt idx="4397">
                  <c:v>0.57310006924554013</c:v>
                </c:pt>
                <c:pt idx="4398">
                  <c:v>0.56318682834702383</c:v>
                </c:pt>
                <c:pt idx="4399">
                  <c:v>0.56238256972267575</c:v>
                </c:pt>
                <c:pt idx="4400">
                  <c:v>0.58623207306118863</c:v>
                </c:pt>
                <c:pt idx="4401">
                  <c:v>0.57481645679717575</c:v>
                </c:pt>
                <c:pt idx="4402">
                  <c:v>0.58222318115679261</c:v>
                </c:pt>
                <c:pt idx="4403">
                  <c:v>0.56477054269953764</c:v>
                </c:pt>
                <c:pt idx="4404">
                  <c:v>0.57724172129114282</c:v>
                </c:pt>
                <c:pt idx="4405">
                  <c:v>0.59161458769679776</c:v>
                </c:pt>
                <c:pt idx="4406">
                  <c:v>0.59299936020393806</c:v>
                </c:pt>
                <c:pt idx="4407">
                  <c:v>0.60840375070015984</c:v>
                </c:pt>
                <c:pt idx="4408">
                  <c:v>0.59925780554831287</c:v>
                </c:pt>
                <c:pt idx="4409">
                  <c:v>0.60541258267570586</c:v>
                </c:pt>
                <c:pt idx="4410">
                  <c:v>0.59757650642097815</c:v>
                </c:pt>
                <c:pt idx="4411">
                  <c:v>0.61280302880904358</c:v>
                </c:pt>
                <c:pt idx="4412">
                  <c:v>0.61032057812870977</c:v>
                </c:pt>
                <c:pt idx="4413">
                  <c:v>0.6141897520607138</c:v>
                </c:pt>
                <c:pt idx="4414">
                  <c:v>0.634957751134547</c:v>
                </c:pt>
                <c:pt idx="4415">
                  <c:v>0.64148967740173979</c:v>
                </c:pt>
                <c:pt idx="4416">
                  <c:v>0.6098166215081311</c:v>
                </c:pt>
                <c:pt idx="4417">
                  <c:v>0.62468927518460926</c:v>
                </c:pt>
                <c:pt idx="4418">
                  <c:v>0.62498701985613025</c:v>
                </c:pt>
                <c:pt idx="4419">
                  <c:v>0.63126189548942868</c:v>
                </c:pt>
                <c:pt idx="4420">
                  <c:v>0.64119559680998861</c:v>
                </c:pt>
                <c:pt idx="4421">
                  <c:v>0.65722781472823655</c:v>
                </c:pt>
                <c:pt idx="4422">
                  <c:v>0.58106219561109451</c:v>
                </c:pt>
                <c:pt idx="4423">
                  <c:v>0.64426148726734844</c:v>
                </c:pt>
                <c:pt idx="4424">
                  <c:v>0.64136631673922195</c:v>
                </c:pt>
                <c:pt idx="4425">
                  <c:v>0.64125184954551695</c:v>
                </c:pt>
                <c:pt idx="4426">
                  <c:v>0.63119885123141739</c:v>
                </c:pt>
                <c:pt idx="4427">
                  <c:v>0.60990204110065394</c:v>
                </c:pt>
                <c:pt idx="4428">
                  <c:v>0.62726689992589213</c:v>
                </c:pt>
                <c:pt idx="4429">
                  <c:v>0.61881449924539478</c:v>
                </c:pt>
                <c:pt idx="4430">
                  <c:v>0.61080458456718412</c:v>
                </c:pt>
                <c:pt idx="4431">
                  <c:v>0.58190200732042552</c:v>
                </c:pt>
                <c:pt idx="4432">
                  <c:v>0.61289834707476465</c:v>
                </c:pt>
                <c:pt idx="4433">
                  <c:v>0.62406995152286515</c:v>
                </c:pt>
                <c:pt idx="4434">
                  <c:v>0.58587621256313616</c:v>
                </c:pt>
                <c:pt idx="4435">
                  <c:v>0.58816869678713923</c:v>
                </c:pt>
                <c:pt idx="4436">
                  <c:v>0.58638653771485372</c:v>
                </c:pt>
                <c:pt idx="4437">
                  <c:v>0.5969983302625067</c:v>
                </c:pt>
                <c:pt idx="4438">
                  <c:v>0.57356151247566856</c:v>
                </c:pt>
                <c:pt idx="4439">
                  <c:v>0.5870945478177807</c:v>
                </c:pt>
                <c:pt idx="4440">
                  <c:v>0.583741133184007</c:v>
                </c:pt>
                <c:pt idx="4441">
                  <c:v>0.63013373671774064</c:v>
                </c:pt>
                <c:pt idx="4442">
                  <c:v>0.6113157932474087</c:v>
                </c:pt>
                <c:pt idx="4443">
                  <c:v>0.58571716953661246</c:v>
                </c:pt>
                <c:pt idx="4444">
                  <c:v>0.57820905693472047</c:v>
                </c:pt>
                <c:pt idx="4445">
                  <c:v>0.57309240918842896</c:v>
                </c:pt>
                <c:pt idx="4446">
                  <c:v>0.60676013257795269</c:v>
                </c:pt>
                <c:pt idx="4447">
                  <c:v>0.60551826148115173</c:v>
                </c:pt>
                <c:pt idx="4448">
                  <c:v>0.5720677623147431</c:v>
                </c:pt>
                <c:pt idx="4449">
                  <c:v>0.59540516475706251</c:v>
                </c:pt>
                <c:pt idx="4450">
                  <c:v>0.6010200233327917</c:v>
                </c:pt>
                <c:pt idx="4451">
                  <c:v>0.58940018961613305</c:v>
                </c:pt>
                <c:pt idx="4452">
                  <c:v>0.58196410050008707</c:v>
                </c:pt>
                <c:pt idx="4453">
                  <c:v>0.60488024285138031</c:v>
                </c:pt>
                <c:pt idx="4454">
                  <c:v>0.58762510762351305</c:v>
                </c:pt>
                <c:pt idx="4455">
                  <c:v>0.60117464880925064</c:v>
                </c:pt>
                <c:pt idx="4456">
                  <c:v>0.60887525416268851</c:v>
                </c:pt>
                <c:pt idx="4457">
                  <c:v>0.60373519588458557</c:v>
                </c:pt>
                <c:pt idx="4458">
                  <c:v>0.58614175559098569</c:v>
                </c:pt>
                <c:pt idx="4459">
                  <c:v>0.60214011126903622</c:v>
                </c:pt>
                <c:pt idx="4460">
                  <c:v>0.57748180405554705</c:v>
                </c:pt>
                <c:pt idx="4461">
                  <c:v>0.60782257030302611</c:v>
                </c:pt>
                <c:pt idx="4462">
                  <c:v>0.58643775110945051</c:v>
                </c:pt>
                <c:pt idx="4463">
                  <c:v>0.62266901637284966</c:v>
                </c:pt>
                <c:pt idx="4464">
                  <c:v>0.62523422974574949</c:v>
                </c:pt>
                <c:pt idx="4465">
                  <c:v>0.61658399518760965</c:v>
                </c:pt>
                <c:pt idx="4466">
                  <c:v>0.63747111649300436</c:v>
                </c:pt>
                <c:pt idx="4467">
                  <c:v>0.61556301013883608</c:v>
                </c:pt>
                <c:pt idx="4468">
                  <c:v>0.63771772429291096</c:v>
                </c:pt>
                <c:pt idx="4469">
                  <c:v>0.64826142958492916</c:v>
                </c:pt>
                <c:pt idx="4470">
                  <c:v>0.65288358006219749</c:v>
                </c:pt>
                <c:pt idx="4471">
                  <c:v>0.58100248063540716</c:v>
                </c:pt>
                <c:pt idx="4472">
                  <c:v>0.63851980625060856</c:v>
                </c:pt>
                <c:pt idx="4473">
                  <c:v>0.64261763399039218</c:v>
                </c:pt>
                <c:pt idx="4474">
                  <c:v>0.63654897412281908</c:v>
                </c:pt>
                <c:pt idx="4475">
                  <c:v>0.62021103459847748</c:v>
                </c:pt>
                <c:pt idx="4476">
                  <c:v>0.59914315944035801</c:v>
                </c:pt>
                <c:pt idx="4477">
                  <c:v>0.62919698744532315</c:v>
                </c:pt>
                <c:pt idx="4478">
                  <c:v>0.6120073647327956</c:v>
                </c:pt>
                <c:pt idx="4479">
                  <c:v>0.60998659101692831</c:v>
                </c:pt>
                <c:pt idx="4480">
                  <c:v>0.57145097297198166</c:v>
                </c:pt>
                <c:pt idx="4481">
                  <c:v>0.64695550794626899</c:v>
                </c:pt>
                <c:pt idx="4482">
                  <c:v>0.58308570661484227</c:v>
                </c:pt>
                <c:pt idx="4483">
                  <c:v>0.58526327804708489</c:v>
                </c:pt>
                <c:pt idx="4484">
                  <c:v>0.58798088435847962</c:v>
                </c:pt>
                <c:pt idx="4485">
                  <c:v>0.59296865018564926</c:v>
                </c:pt>
                <c:pt idx="4486">
                  <c:v>0.58033959465034901</c:v>
                </c:pt>
                <c:pt idx="4487">
                  <c:v>0.57388740557042395</c:v>
                </c:pt>
                <c:pt idx="4488">
                  <c:v>0.58180862338929507</c:v>
                </c:pt>
                <c:pt idx="4489">
                  <c:v>0.57914654533107834</c:v>
                </c:pt>
                <c:pt idx="4490">
                  <c:v>0.63064201992030366</c:v>
                </c:pt>
                <c:pt idx="4491">
                  <c:v>0.59363081757885394</c:v>
                </c:pt>
                <c:pt idx="4492">
                  <c:v>0.57791405502759308</c:v>
                </c:pt>
                <c:pt idx="4493">
                  <c:v>0.56459174265201217</c:v>
                </c:pt>
                <c:pt idx="4494">
                  <c:v>0.58545486367328736</c:v>
                </c:pt>
                <c:pt idx="4495">
                  <c:v>0.60350357293434176</c:v>
                </c:pt>
                <c:pt idx="4496">
                  <c:v>0.59096816067159008</c:v>
                </c:pt>
                <c:pt idx="4497">
                  <c:v>0.56707697205260033</c:v>
                </c:pt>
                <c:pt idx="4498">
                  <c:v>0.57670372543561266</c:v>
                </c:pt>
                <c:pt idx="4499">
                  <c:v>0.60213414078041805</c:v>
                </c:pt>
                <c:pt idx="4500">
                  <c:v>0.57651514841565721</c:v>
                </c:pt>
                <c:pt idx="4501">
                  <c:v>0.57650559074559926</c:v>
                </c:pt>
                <c:pt idx="4502">
                  <c:v>0.5944255908615842</c:v>
                </c:pt>
                <c:pt idx="4503">
                  <c:v>0.58781004467925091</c:v>
                </c:pt>
                <c:pt idx="4504">
                  <c:v>0.58727971089343101</c:v>
                </c:pt>
                <c:pt idx="4505">
                  <c:v>0.60252693250588973</c:v>
                </c:pt>
                <c:pt idx="4506">
                  <c:v>0.59990151282977044</c:v>
                </c:pt>
                <c:pt idx="4507">
                  <c:v>0.59005129694330871</c:v>
                </c:pt>
                <c:pt idx="4508">
                  <c:v>0.58896132301092674</c:v>
                </c:pt>
                <c:pt idx="4509">
                  <c:v>0.58839631747037568</c:v>
                </c:pt>
                <c:pt idx="4510">
                  <c:v>0.60803144792253228</c:v>
                </c:pt>
                <c:pt idx="4511">
                  <c:v>0.58061014057144367</c:v>
                </c:pt>
                <c:pt idx="4512">
                  <c:v>0.60936717215717939</c:v>
                </c:pt>
                <c:pt idx="4513">
                  <c:v>0.24808538328870733</c:v>
                </c:pt>
                <c:pt idx="4514">
                  <c:v>0.58069990494825119</c:v>
                </c:pt>
                <c:pt idx="4515">
                  <c:v>0.61066165331348665</c:v>
                </c:pt>
                <c:pt idx="4516">
                  <c:v>0.59831164377479884</c:v>
                </c:pt>
                <c:pt idx="4517">
                  <c:v>0.59231280021388621</c:v>
                </c:pt>
                <c:pt idx="4518">
                  <c:v>0.5451003133669744</c:v>
                </c:pt>
                <c:pt idx="4519">
                  <c:v>0.54008409793885936</c:v>
                </c:pt>
                <c:pt idx="4520">
                  <c:v>0.57400671491897604</c:v>
                </c:pt>
                <c:pt idx="4521">
                  <c:v>0.58779613225194915</c:v>
                </c:pt>
                <c:pt idx="4522">
                  <c:v>0.56643619579169679</c:v>
                </c:pt>
                <c:pt idx="4523">
                  <c:v>0.57184503686714139</c:v>
                </c:pt>
                <c:pt idx="4524">
                  <c:v>0.56052711500113617</c:v>
                </c:pt>
                <c:pt idx="4525">
                  <c:v>0.56426661369123399</c:v>
                </c:pt>
                <c:pt idx="4526">
                  <c:v>0.59484484299501872</c:v>
                </c:pt>
                <c:pt idx="4527">
                  <c:v>0.64748312017646847</c:v>
                </c:pt>
                <c:pt idx="4528">
                  <c:v>0.65534803700207167</c:v>
                </c:pt>
                <c:pt idx="4529">
                  <c:v>0.66613471508449706</c:v>
                </c:pt>
                <c:pt idx="4530">
                  <c:v>0.66606023263246905</c:v>
                </c:pt>
                <c:pt idx="4531">
                  <c:v>0.65510326706444377</c:v>
                </c:pt>
                <c:pt idx="4532">
                  <c:v>0.64821613320338056</c:v>
                </c:pt>
                <c:pt idx="4533">
                  <c:v>0.66001445164537287</c:v>
                </c:pt>
                <c:pt idx="4534">
                  <c:v>0.63991439712643972</c:v>
                </c:pt>
                <c:pt idx="4535">
                  <c:v>0.64460557854802958</c:v>
                </c:pt>
                <c:pt idx="4536">
                  <c:v>0.6526504627073284</c:v>
                </c:pt>
                <c:pt idx="4537">
                  <c:v>0.66075831352461778</c:v>
                </c:pt>
                <c:pt idx="4538">
                  <c:v>0.66192110369744428</c:v>
                </c:pt>
                <c:pt idx="4539">
                  <c:v>0.6730564975325396</c:v>
                </c:pt>
                <c:pt idx="4540">
                  <c:v>0.68755027411695546</c:v>
                </c:pt>
                <c:pt idx="4541">
                  <c:v>0.64857807940699486</c:v>
                </c:pt>
                <c:pt idx="4542">
                  <c:v>0.5840924098510929</c:v>
                </c:pt>
                <c:pt idx="4543">
                  <c:v>0.56295534217140175</c:v>
                </c:pt>
                <c:pt idx="4544">
                  <c:v>0.56789702418189525</c:v>
                </c:pt>
                <c:pt idx="4545">
                  <c:v>0.57666988430713562</c:v>
                </c:pt>
                <c:pt idx="4546">
                  <c:v>0.57575563704895127</c:v>
                </c:pt>
                <c:pt idx="4547">
                  <c:v>0.57226374534076829</c:v>
                </c:pt>
                <c:pt idx="4548">
                  <c:v>0.5861693483319339</c:v>
                </c:pt>
                <c:pt idx="4549">
                  <c:v>0.66914331408826599</c:v>
                </c:pt>
                <c:pt idx="4550">
                  <c:v>0.68417536759794162</c:v>
                </c:pt>
                <c:pt idx="4551">
                  <c:v>0.68555311534173602</c:v>
                </c:pt>
                <c:pt idx="4552">
                  <c:v>0.68657684012832143</c:v>
                </c:pt>
                <c:pt idx="4553">
                  <c:v>0.69387927693025353</c:v>
                </c:pt>
                <c:pt idx="4554">
                  <c:v>0.65621725715999635</c:v>
                </c:pt>
                <c:pt idx="4555">
                  <c:v>0.59056532691756847</c:v>
                </c:pt>
                <c:pt idx="4556">
                  <c:v>0.59818853173321751</c:v>
                </c:pt>
                <c:pt idx="4557">
                  <c:v>0.63005454682296036</c:v>
                </c:pt>
                <c:pt idx="4558">
                  <c:v>0.60248832011600195</c:v>
                </c:pt>
                <c:pt idx="4559">
                  <c:v>0.32687327498748581</c:v>
                </c:pt>
                <c:pt idx="4560">
                  <c:v>0.58042039952693036</c:v>
                </c:pt>
                <c:pt idx="4561">
                  <c:v>0.61036126991453876</c:v>
                </c:pt>
                <c:pt idx="4562">
                  <c:v>0.26607757244053043</c:v>
                </c:pt>
                <c:pt idx="4563">
                  <c:v>0.59011993639568761</c:v>
                </c:pt>
                <c:pt idx="4564">
                  <c:v>0.58457137709171691</c:v>
                </c:pt>
                <c:pt idx="4565">
                  <c:v>0.61322438915057109</c:v>
                </c:pt>
                <c:pt idx="4566">
                  <c:v>0.58967230119632141</c:v>
                </c:pt>
                <c:pt idx="4567">
                  <c:v>0.58101250967828955</c:v>
                </c:pt>
                <c:pt idx="4568">
                  <c:v>0.50743270053577383</c:v>
                </c:pt>
                <c:pt idx="4569">
                  <c:v>0.5757800911840999</c:v>
                </c:pt>
                <c:pt idx="4570">
                  <c:v>0.57003853859532883</c:v>
                </c:pt>
                <c:pt idx="4571">
                  <c:v>0.5666672480288627</c:v>
                </c:pt>
                <c:pt idx="4572">
                  <c:v>0.56021064437757206</c:v>
                </c:pt>
                <c:pt idx="4573">
                  <c:v>0.55855018012981406</c:v>
                </c:pt>
                <c:pt idx="4574">
                  <c:v>0.55797865468892349</c:v>
                </c:pt>
                <c:pt idx="4575">
                  <c:v>0.57133200814933949</c:v>
                </c:pt>
                <c:pt idx="4576">
                  <c:v>0.62326397343931472</c:v>
                </c:pt>
                <c:pt idx="4577">
                  <c:v>0.65421476966536873</c:v>
                </c:pt>
                <c:pt idx="4578">
                  <c:v>0.65622013248453825</c:v>
                </c:pt>
                <c:pt idx="4579">
                  <c:v>0.65659960407855689</c:v>
                </c:pt>
                <c:pt idx="4580">
                  <c:v>0.65254782435219028</c:v>
                </c:pt>
                <c:pt idx="4581">
                  <c:v>0.63635558187589214</c:v>
                </c:pt>
                <c:pt idx="4582">
                  <c:v>0.64668107633032823</c:v>
                </c:pt>
                <c:pt idx="4583">
                  <c:v>0.63784382531931438</c:v>
                </c:pt>
                <c:pt idx="4584">
                  <c:v>0.62482622187526826</c:v>
                </c:pt>
                <c:pt idx="4585">
                  <c:v>0.64502434410329235</c:v>
                </c:pt>
                <c:pt idx="4586">
                  <c:v>0.64588628414258786</c:v>
                </c:pt>
                <c:pt idx="4587">
                  <c:v>0.65385836001205311</c:v>
                </c:pt>
                <c:pt idx="4588">
                  <c:v>0.65791784623214111</c:v>
                </c:pt>
                <c:pt idx="4589">
                  <c:v>0.67859093748630706</c:v>
                </c:pt>
                <c:pt idx="4590">
                  <c:v>0.66119382461099785</c:v>
                </c:pt>
                <c:pt idx="4591">
                  <c:v>0.59206267069023943</c:v>
                </c:pt>
                <c:pt idx="4592">
                  <c:v>0.56735308219914238</c:v>
                </c:pt>
                <c:pt idx="4593">
                  <c:v>0.55777371196354031</c:v>
                </c:pt>
                <c:pt idx="4594">
                  <c:v>0.56537006809188539</c:v>
                </c:pt>
                <c:pt idx="4595">
                  <c:v>0.57604957220566311</c:v>
                </c:pt>
                <c:pt idx="4596">
                  <c:v>0.55989095186704141</c:v>
                </c:pt>
                <c:pt idx="4597">
                  <c:v>0.56827742556099636</c:v>
                </c:pt>
                <c:pt idx="4598">
                  <c:v>0.69269378806254578</c:v>
                </c:pt>
                <c:pt idx="4599">
                  <c:v>0.72960971355217696</c:v>
                </c:pt>
                <c:pt idx="4600">
                  <c:v>0.74269780052073642</c:v>
                </c:pt>
                <c:pt idx="4601">
                  <c:v>0.74229793046672676</c:v>
                </c:pt>
                <c:pt idx="4602">
                  <c:v>0.75158715897827233</c:v>
                </c:pt>
                <c:pt idx="4603">
                  <c:v>0.74938479665531121</c:v>
                </c:pt>
                <c:pt idx="4604">
                  <c:v>0.58493542323501968</c:v>
                </c:pt>
                <c:pt idx="4605">
                  <c:v>0.60170426707640878</c:v>
                </c:pt>
                <c:pt idx="4606">
                  <c:v>0.61919656769258302</c:v>
                </c:pt>
                <c:pt idx="4607">
                  <c:v>0.60956965266708996</c:v>
                </c:pt>
                <c:pt idx="4608">
                  <c:v>0.60826248877493383</c:v>
                </c:pt>
                <c:pt idx="4609">
                  <c:v>0.59033449027818197</c:v>
                </c:pt>
                <c:pt idx="4610">
                  <c:v>0.60280167548974595</c:v>
                </c:pt>
                <c:pt idx="4611">
                  <c:v>0.61567392926801501</c:v>
                </c:pt>
                <c:pt idx="4612">
                  <c:v>0.59796489115843687</c:v>
                </c:pt>
                <c:pt idx="4613">
                  <c:v>0.6124601337464457</c:v>
                </c:pt>
                <c:pt idx="4614">
                  <c:v>0.57276301500603943</c:v>
                </c:pt>
                <c:pt idx="4615">
                  <c:v>0.56545193465226318</c:v>
                </c:pt>
                <c:pt idx="4616">
                  <c:v>0.6015583086965508</c:v>
                </c:pt>
                <c:pt idx="4617">
                  <c:v>0.60046243585375514</c:v>
                </c:pt>
                <c:pt idx="4618">
                  <c:v>0.59904302425820777</c:v>
                </c:pt>
                <c:pt idx="4619">
                  <c:v>0.58757077862123375</c:v>
                </c:pt>
                <c:pt idx="4620">
                  <c:v>0.58601818618285106</c:v>
                </c:pt>
                <c:pt idx="4621">
                  <c:v>0.59154273581164596</c:v>
                </c:pt>
                <c:pt idx="4622">
                  <c:v>0.60433094090062511</c:v>
                </c:pt>
                <c:pt idx="4623">
                  <c:v>0.63754776498937482</c:v>
                </c:pt>
                <c:pt idx="4624">
                  <c:v>0.66343706552184989</c:v>
                </c:pt>
                <c:pt idx="4625">
                  <c:v>0.66217312334799916</c:v>
                </c:pt>
                <c:pt idx="4626">
                  <c:v>0.64640303997842496</c:v>
                </c:pt>
                <c:pt idx="4627">
                  <c:v>0.64304642119164734</c:v>
                </c:pt>
                <c:pt idx="4628">
                  <c:v>0.63422014412361849</c:v>
                </c:pt>
                <c:pt idx="4629">
                  <c:v>0.6527704666296279</c:v>
                </c:pt>
                <c:pt idx="4630">
                  <c:v>0.61651594813090216</c:v>
                </c:pt>
                <c:pt idx="4631">
                  <c:v>0.62663462281524951</c:v>
                </c:pt>
                <c:pt idx="4632">
                  <c:v>0.63406232580365851</c:v>
                </c:pt>
                <c:pt idx="4633">
                  <c:v>0.64680362236704059</c:v>
                </c:pt>
                <c:pt idx="4634">
                  <c:v>0.63921467134543131</c:v>
                </c:pt>
                <c:pt idx="4635">
                  <c:v>0.63257784531802896</c:v>
                </c:pt>
                <c:pt idx="4636">
                  <c:v>0.64375164453062983</c:v>
                </c:pt>
                <c:pt idx="4637">
                  <c:v>0.59584186642407433</c:v>
                </c:pt>
                <c:pt idx="4638">
                  <c:v>0.56535340936971534</c:v>
                </c:pt>
                <c:pt idx="4639">
                  <c:v>0.53148134397522584</c:v>
                </c:pt>
                <c:pt idx="4640">
                  <c:v>0.51336824481467314</c:v>
                </c:pt>
                <c:pt idx="4641">
                  <c:v>0.52389948314700596</c:v>
                </c:pt>
                <c:pt idx="4642">
                  <c:v>0.53012372205106018</c:v>
                </c:pt>
                <c:pt idx="4643">
                  <c:v>0.53180566455936285</c:v>
                </c:pt>
                <c:pt idx="4644">
                  <c:v>0.52080818241424687</c:v>
                </c:pt>
                <c:pt idx="4645">
                  <c:v>0.53120816501321566</c:v>
                </c:pt>
                <c:pt idx="4646">
                  <c:v>0.5438760437540161</c:v>
                </c:pt>
                <c:pt idx="4647">
                  <c:v>0.51761256790656784</c:v>
                </c:pt>
                <c:pt idx="4648">
                  <c:v>0.51272067483057115</c:v>
                </c:pt>
                <c:pt idx="4649">
                  <c:v>0.51757221142014942</c:v>
                </c:pt>
                <c:pt idx="4650">
                  <c:v>0.53923234138664555</c:v>
                </c:pt>
                <c:pt idx="4651">
                  <c:v>0.52790752861510104</c:v>
                </c:pt>
                <c:pt idx="4652">
                  <c:v>0.52264007832416215</c:v>
                </c:pt>
                <c:pt idx="4653">
                  <c:v>0.50773311895245787</c:v>
                </c:pt>
                <c:pt idx="4654">
                  <c:v>0.47010767305937257</c:v>
                </c:pt>
                <c:pt idx="4655">
                  <c:v>0.61266721710081851</c:v>
                </c:pt>
                <c:pt idx="4656">
                  <c:v>0.60920699946247991</c:v>
                </c:pt>
                <c:pt idx="4657">
                  <c:v>0.60066671357503276</c:v>
                </c:pt>
                <c:pt idx="4658">
                  <c:v>0.59549214340646717</c:v>
                </c:pt>
                <c:pt idx="4659">
                  <c:v>0.60546547915563265</c:v>
                </c:pt>
                <c:pt idx="4660">
                  <c:v>0.59974828892844978</c:v>
                </c:pt>
                <c:pt idx="4661">
                  <c:v>0.61056211643056169</c:v>
                </c:pt>
                <c:pt idx="4662">
                  <c:v>0.62008876949922964</c:v>
                </c:pt>
                <c:pt idx="4663">
                  <c:v>0.5359311664987505</c:v>
                </c:pt>
                <c:pt idx="4664">
                  <c:v>0.60456061182575926</c:v>
                </c:pt>
                <c:pt idx="4665">
                  <c:v>0.59616577552353034</c:v>
                </c:pt>
                <c:pt idx="4666">
                  <c:v>0.59563982389621539</c:v>
                </c:pt>
                <c:pt idx="4667">
                  <c:v>0.57955736170666128</c:v>
                </c:pt>
                <c:pt idx="4668">
                  <c:v>0.56591401993312807</c:v>
                </c:pt>
                <c:pt idx="4669">
                  <c:v>0.5990366830436028</c:v>
                </c:pt>
                <c:pt idx="4670">
                  <c:v>0.58171521937401771</c:v>
                </c:pt>
                <c:pt idx="4671">
                  <c:v>0.62629005611673771</c:v>
                </c:pt>
                <c:pt idx="4672">
                  <c:v>0.64274726370131108</c:v>
                </c:pt>
                <c:pt idx="4673">
                  <c:v>0.65153841566292059</c:v>
                </c:pt>
                <c:pt idx="4674">
                  <c:v>0.64665089981833401</c:v>
                </c:pt>
                <c:pt idx="4675">
                  <c:v>0.62993349477431038</c:v>
                </c:pt>
                <c:pt idx="4676">
                  <c:v>0.63101260911032386</c:v>
                </c:pt>
                <c:pt idx="4677">
                  <c:v>0.63473545251089825</c:v>
                </c:pt>
                <c:pt idx="4678">
                  <c:v>0.63175780864896725</c:v>
                </c:pt>
                <c:pt idx="4679">
                  <c:v>0.60961521644764838</c:v>
                </c:pt>
                <c:pt idx="4680">
                  <c:v>0.62367613680666556</c:v>
                </c:pt>
                <c:pt idx="4681">
                  <c:v>0.62493747858583326</c:v>
                </c:pt>
                <c:pt idx="4682">
                  <c:v>0.64195979253921653</c:v>
                </c:pt>
                <c:pt idx="4683">
                  <c:v>0.62398644803182424</c:v>
                </c:pt>
                <c:pt idx="4684">
                  <c:v>0.63448029308163956</c:v>
                </c:pt>
                <c:pt idx="4685">
                  <c:v>0.62444464215988826</c:v>
                </c:pt>
                <c:pt idx="4686">
                  <c:v>0.56795269630610412</c:v>
                </c:pt>
                <c:pt idx="4687">
                  <c:v>0.54379075188135562</c:v>
                </c:pt>
                <c:pt idx="4688">
                  <c:v>0.52306770912331146</c:v>
                </c:pt>
                <c:pt idx="4689">
                  <c:v>0.51153471645515403</c:v>
                </c:pt>
                <c:pt idx="4690">
                  <c:v>0.5262543490045779</c:v>
                </c:pt>
                <c:pt idx="4691">
                  <c:v>0.53012807854714472</c:v>
                </c:pt>
                <c:pt idx="4692">
                  <c:v>0.52963423497020068</c:v>
                </c:pt>
                <c:pt idx="4693">
                  <c:v>0.5359072704059068</c:v>
                </c:pt>
                <c:pt idx="4694">
                  <c:v>0.5450831062781053</c:v>
                </c:pt>
                <c:pt idx="4695">
                  <c:v>0.53521041849268625</c:v>
                </c:pt>
                <c:pt idx="4696">
                  <c:v>0.51953674826866425</c:v>
                </c:pt>
                <c:pt idx="4697">
                  <c:v>0.52245153689565682</c:v>
                </c:pt>
                <c:pt idx="4698">
                  <c:v>0.52545712618474161</c:v>
                </c:pt>
                <c:pt idx="4699">
                  <c:v>0.54343997284594603</c:v>
                </c:pt>
                <c:pt idx="4700">
                  <c:v>0.53821846231584936</c:v>
                </c:pt>
                <c:pt idx="4701">
                  <c:v>0.51402522256762329</c:v>
                </c:pt>
                <c:pt idx="4702">
                  <c:v>0.52268817848724358</c:v>
                </c:pt>
                <c:pt idx="4703">
                  <c:v>0.52692492138520153</c:v>
                </c:pt>
                <c:pt idx="4704">
                  <c:v>0.52161136368696093</c:v>
                </c:pt>
                <c:pt idx="4705">
                  <c:v>0.51827935751471976</c:v>
                </c:pt>
                <c:pt idx="4706">
                  <c:v>0.52114972577958429</c:v>
                </c:pt>
                <c:pt idx="4707">
                  <c:v>0.52322382882870955</c:v>
                </c:pt>
                <c:pt idx="4708">
                  <c:v>0.52486755279258279</c:v>
                </c:pt>
                <c:pt idx="4709">
                  <c:v>0.50155971393115828</c:v>
                </c:pt>
                <c:pt idx="4710">
                  <c:v>0.52460160059157124</c:v>
                </c:pt>
                <c:pt idx="4711">
                  <c:v>0.48590035868180048</c:v>
                </c:pt>
                <c:pt idx="4712">
                  <c:v>0.51400780293088477</c:v>
                </c:pt>
                <c:pt idx="4713">
                  <c:v>0.52332952607236005</c:v>
                </c:pt>
                <c:pt idx="4714">
                  <c:v>0.53117991734889158</c:v>
                </c:pt>
                <c:pt idx="4715">
                  <c:v>0.51153378029941743</c:v>
                </c:pt>
                <c:pt idx="4716">
                  <c:v>0.52993263389340139</c:v>
                </c:pt>
                <c:pt idx="4717">
                  <c:v>0.5478565123653012</c:v>
                </c:pt>
                <c:pt idx="4718">
                  <c:v>0.5299016109818423</c:v>
                </c:pt>
                <c:pt idx="4719">
                  <c:v>0.57866510643948077</c:v>
                </c:pt>
                <c:pt idx="4720">
                  <c:v>0.6035526990049338</c:v>
                </c:pt>
                <c:pt idx="4721">
                  <c:v>0.63282775234028188</c:v>
                </c:pt>
                <c:pt idx="4722">
                  <c:v>0.63872780379931904</c:v>
                </c:pt>
                <c:pt idx="4723">
                  <c:v>0.62685474780004324</c:v>
                </c:pt>
                <c:pt idx="4724">
                  <c:v>0.62688243502848329</c:v>
                </c:pt>
                <c:pt idx="4725">
                  <c:v>0.63073614518587962</c:v>
                </c:pt>
                <c:pt idx="4726">
                  <c:v>0.62369524723175962</c:v>
                </c:pt>
                <c:pt idx="4727">
                  <c:v>0.60548034503093662</c:v>
                </c:pt>
                <c:pt idx="4728">
                  <c:v>0.60046276277486654</c:v>
                </c:pt>
                <c:pt idx="4729">
                  <c:v>0.63808832296643403</c:v>
                </c:pt>
                <c:pt idx="4730">
                  <c:v>0.64281784667760034</c:v>
                </c:pt>
                <c:pt idx="4731">
                  <c:v>0.63151225631724373</c:v>
                </c:pt>
                <c:pt idx="4732">
                  <c:v>0.63742658210661884</c:v>
                </c:pt>
                <c:pt idx="4733">
                  <c:v>0.62229620982502742</c:v>
                </c:pt>
                <c:pt idx="4734">
                  <c:v>0.56321603743423643</c:v>
                </c:pt>
                <c:pt idx="4735">
                  <c:v>0.53632848337156647</c:v>
                </c:pt>
                <c:pt idx="4736">
                  <c:v>0.52534482032049068</c:v>
                </c:pt>
                <c:pt idx="4737">
                  <c:v>0.51206158558539039</c:v>
                </c:pt>
                <c:pt idx="4738">
                  <c:v>0.50824009276388482</c:v>
                </c:pt>
                <c:pt idx="4739">
                  <c:v>0.52191205986642109</c:v>
                </c:pt>
                <c:pt idx="4740">
                  <c:v>0.51764830532403827</c:v>
                </c:pt>
                <c:pt idx="4741">
                  <c:v>0.52243771251919668</c:v>
                </c:pt>
                <c:pt idx="4742">
                  <c:v>0.51320254604124804</c:v>
                </c:pt>
                <c:pt idx="4743">
                  <c:v>0.52216935420023369</c:v>
                </c:pt>
                <c:pt idx="4744">
                  <c:v>0.51787004893777688</c:v>
                </c:pt>
                <c:pt idx="4745">
                  <c:v>0.50691275306537498</c:v>
                </c:pt>
                <c:pt idx="4746">
                  <c:v>0.50781203541318054</c:v>
                </c:pt>
                <c:pt idx="4747">
                  <c:v>0.51908709343099213</c:v>
                </c:pt>
                <c:pt idx="4748">
                  <c:v>0.50653127869260572</c:v>
                </c:pt>
                <c:pt idx="4749">
                  <c:v>0.50532393270380715</c:v>
                </c:pt>
                <c:pt idx="4750">
                  <c:v>0.52240941030042554</c:v>
                </c:pt>
                <c:pt idx="4751">
                  <c:v>0.425484495498193</c:v>
                </c:pt>
                <c:pt idx="4752">
                  <c:v>0.53643381752529751</c:v>
                </c:pt>
                <c:pt idx="4753">
                  <c:v>0.52776403462286314</c:v>
                </c:pt>
                <c:pt idx="4754">
                  <c:v>0.53824160278191513</c:v>
                </c:pt>
                <c:pt idx="4755">
                  <c:v>0.52602313556290159</c:v>
                </c:pt>
                <c:pt idx="4756">
                  <c:v>0.52707966088938785</c:v>
                </c:pt>
                <c:pt idx="4757">
                  <c:v>0.52578701049179322</c:v>
                </c:pt>
                <c:pt idx="4758">
                  <c:v>0.5174330451009338</c:v>
                </c:pt>
                <c:pt idx="4759">
                  <c:v>0.5191542493875646</c:v>
                </c:pt>
                <c:pt idx="4760">
                  <c:v>0.49303205229403435</c:v>
                </c:pt>
                <c:pt idx="4761">
                  <c:v>0.51850591193599382</c:v>
                </c:pt>
                <c:pt idx="4762">
                  <c:v>0.52835316537587873</c:v>
                </c:pt>
                <c:pt idx="4763">
                  <c:v>0.52336154257459255</c:v>
                </c:pt>
                <c:pt idx="4764">
                  <c:v>0.51141580852799351</c:v>
                </c:pt>
                <c:pt idx="4765">
                  <c:v>0.5262231915060247</c:v>
                </c:pt>
                <c:pt idx="4766">
                  <c:v>0.53874648732318908</c:v>
                </c:pt>
                <c:pt idx="4767">
                  <c:v>0.53592901716855101</c:v>
                </c:pt>
                <c:pt idx="4768">
                  <c:v>0.58501549051757107</c:v>
                </c:pt>
                <c:pt idx="4769">
                  <c:v>0.60577777102312402</c:v>
                </c:pt>
              </c:numCache>
            </c:numRef>
          </c:val>
        </c:ser>
        <c:marker val="1"/>
        <c:axId val="131218048"/>
        <c:axId val="131223936"/>
      </c:lineChart>
      <c:catAx>
        <c:axId val="131218048"/>
        <c:scaling>
          <c:orientation val="minMax"/>
        </c:scaling>
        <c:axPos val="b"/>
        <c:tickLblPos val="nextTo"/>
        <c:crossAx val="131223936"/>
        <c:crosses val="autoZero"/>
        <c:auto val="1"/>
        <c:lblAlgn val="ctr"/>
        <c:lblOffset val="100"/>
      </c:catAx>
      <c:valAx>
        <c:axId val="131223936"/>
        <c:scaling>
          <c:orientation val="minMax"/>
        </c:scaling>
        <c:axPos val="l"/>
        <c:majorGridlines/>
        <c:numFmt formatCode="General" sourceLinked="1"/>
        <c:tickLblPos val="nextTo"/>
        <c:crossAx val="131218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0</xdr:rowOff>
    </xdr:from>
    <xdr:to>
      <xdr:col>103</xdr:col>
      <xdr:colOff>600075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71"/>
  <sheetViews>
    <sheetView tabSelected="1" topLeftCell="BQ1" workbookViewId="0">
      <selection activeCell="C1" sqref="C1:D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1.0599940000000001</v>
      </c>
      <c r="B2">
        <v>3.8748939999999998</v>
      </c>
      <c r="C2">
        <f>LOG10(1.059994)</f>
        <v>2.5303406987160604E-2</v>
      </c>
      <c r="D2">
        <f>LOG10(3.874894)</f>
        <v>0.58825982662433263</v>
      </c>
    </row>
    <row r="3" spans="1:4">
      <c r="A3">
        <v>1.0449949999999999</v>
      </c>
      <c r="B3">
        <v>4.5152320000000001</v>
      </c>
      <c r="C3">
        <f>LOG10(1.044995)</f>
        <v>1.9114212478073298E-2</v>
      </c>
      <c r="D3">
        <f>LOG10(4.515232)</f>
        <v>0.65468006998313366</v>
      </c>
    </row>
    <row r="4" spans="1:4">
      <c r="A4">
        <v>1.0480640000000001</v>
      </c>
      <c r="B4">
        <v>4.4431139999999996</v>
      </c>
      <c r="C4">
        <f>LOG10(1.048064)</f>
        <v>2.0387803638336463E-2</v>
      </c>
      <c r="D4">
        <f>LOG10(4.443114)</f>
        <v>0.64768745637293956</v>
      </c>
    </row>
    <row r="5" spans="1:4">
      <c r="A5">
        <v>1.054718</v>
      </c>
      <c r="B5">
        <v>4.2067379999999996</v>
      </c>
      <c r="C5">
        <f>LOG10(1.054718)</f>
        <v>2.3136357818562631E-2</v>
      </c>
      <c r="D5">
        <f>LOG10(4.206738)</f>
        <v>0.6239454645490824</v>
      </c>
    </row>
    <row r="6" spans="1:4">
      <c r="A6">
        <v>1.052551</v>
      </c>
      <c r="B6">
        <v>3.965903</v>
      </c>
      <c r="C6">
        <f>LOG10(1.052551)</f>
        <v>2.2243148196035945E-2</v>
      </c>
      <c r="D6">
        <f>LOG10(3.965903)</f>
        <v>0.5983420878118163</v>
      </c>
    </row>
    <row r="7" spans="1:4">
      <c r="A7">
        <v>1.0300229999999999</v>
      </c>
      <c r="B7">
        <v>4.822438</v>
      </c>
      <c r="C7">
        <f>LOG10(1.030023)</f>
        <v>1.284692243484236E-2</v>
      </c>
      <c r="D7">
        <f>LOG10(4.822438)</f>
        <v>0.68326665281546239</v>
      </c>
    </row>
    <row r="8" spans="1:4">
      <c r="A8">
        <v>1.0106949999999999</v>
      </c>
      <c r="B8">
        <v>2.1440190000000001</v>
      </c>
      <c r="C8">
        <f>LOG10(1.010695)</f>
        <v>4.620117211833627E-3</v>
      </c>
      <c r="D8">
        <f>LOG10(2.144019)</f>
        <v>0.33122862969544969</v>
      </c>
    </row>
    <row r="9" spans="1:4">
      <c r="A9">
        <v>1.043714</v>
      </c>
      <c r="B9">
        <v>4.5563549999999999</v>
      </c>
      <c r="C9">
        <f>LOG10(1.043714)</f>
        <v>1.8581508974550607E-2</v>
      </c>
      <c r="D9">
        <f>LOG10(4.556355)</f>
        <v>0.65861755397923283</v>
      </c>
    </row>
    <row r="10" spans="1:4">
      <c r="A10">
        <v>1.0464469999999999</v>
      </c>
      <c r="B10">
        <v>3.1830280000000002</v>
      </c>
      <c r="C10">
        <f>LOG10(1.046447)</f>
        <v>1.9717237270573375E-2</v>
      </c>
      <c r="D10">
        <f>LOG10(3.183028)</f>
        <v>0.50284045897664509</v>
      </c>
    </row>
    <row r="11" spans="1:4">
      <c r="A11">
        <v>1.048732</v>
      </c>
      <c r="B11">
        <v>3.995555</v>
      </c>
      <c r="C11">
        <f>LOG10(1.048732)</f>
        <v>2.0664519850811205E-2</v>
      </c>
      <c r="D11">
        <f>LOG10(3.995555)</f>
        <v>0.60157711323608876</v>
      </c>
    </row>
    <row r="12" spans="1:4">
      <c r="A12">
        <v>1.041766</v>
      </c>
      <c r="B12">
        <v>3.782686</v>
      </c>
      <c r="C12">
        <f>LOG10(1.041766)</f>
        <v>1.777017930771653E-2</v>
      </c>
      <c r="D12">
        <f>LOG10(3.782686)</f>
        <v>0.57780029209181349</v>
      </c>
    </row>
    <row r="13" spans="1:4">
      <c r="A13">
        <v>1.039954</v>
      </c>
      <c r="B13">
        <v>2.8542589999999999</v>
      </c>
      <c r="C13">
        <f>LOG10(1.039954)</f>
        <v>1.7014129694942204E-2</v>
      </c>
      <c r="D13">
        <f>LOG10(2.854259)</f>
        <v>0.45549337913856103</v>
      </c>
    </row>
    <row r="14" spans="1:4">
      <c r="A14">
        <v>1.0494479999999999</v>
      </c>
      <c r="B14">
        <v>3.972372</v>
      </c>
      <c r="C14">
        <f>LOG10(1.049448)</f>
        <v>2.0960924221373276E-2</v>
      </c>
      <c r="D14">
        <f>LOG10(3.972372)</f>
        <v>0.59904991202433977</v>
      </c>
    </row>
    <row r="15" spans="1:4">
      <c r="A15">
        <v>1.0389139999999999</v>
      </c>
      <c r="B15">
        <v>3.7562720000000001</v>
      </c>
      <c r="C15">
        <f>LOG10(1.038914)</f>
        <v>1.6579598691666086E-2</v>
      </c>
      <c r="D15">
        <f>LOG10(3.756272)</f>
        <v>0.57475703296095704</v>
      </c>
    </row>
    <row r="16" spans="1:4">
      <c r="A16">
        <v>1.04674</v>
      </c>
      <c r="B16">
        <v>2.764615</v>
      </c>
      <c r="C16">
        <f>LOG10(1.04674)</f>
        <v>1.9838820563445717E-2</v>
      </c>
      <c r="D16">
        <f>LOG10(2.764615)</f>
        <v>0.44163466004673707</v>
      </c>
    </row>
    <row r="17" spans="1:4">
      <c r="A17">
        <v>1.036173</v>
      </c>
      <c r="B17">
        <v>4.0930840000000002</v>
      </c>
      <c r="C17">
        <f>LOG10(1.036173)</f>
        <v>1.5432271502748715E-2</v>
      </c>
      <c r="D17">
        <f>LOG10(4.093084)</f>
        <v>0.6120506575116611</v>
      </c>
    </row>
    <row r="18" spans="1:4">
      <c r="A18">
        <v>1.0445450000000001</v>
      </c>
      <c r="B18">
        <v>4.1884920000000001</v>
      </c>
      <c r="C18">
        <f>LOG10(1.044545)</f>
        <v>1.8927154541993844E-2</v>
      </c>
      <c r="D18">
        <f>LOG10(4.188492)</f>
        <v>0.62205769027879454</v>
      </c>
    </row>
    <row r="19" spans="1:4">
      <c r="A19">
        <v>1.042367</v>
      </c>
      <c r="B19">
        <v>2.9592200000000002</v>
      </c>
      <c r="C19">
        <f>LOG10(1.042367)</f>
        <v>1.8020653716843815E-2</v>
      </c>
      <c r="D19">
        <f>LOG10(2.95922)</f>
        <v>0.4711772535128953</v>
      </c>
    </row>
    <row r="20" spans="1:4">
      <c r="A20">
        <v>1.048549</v>
      </c>
      <c r="B20">
        <v>4.2186370000000002</v>
      </c>
      <c r="C20">
        <f>LOG10(1.048549)</f>
        <v>2.0588730397333097E-2</v>
      </c>
      <c r="D20">
        <f>LOG10(4.218637)</f>
        <v>0.62517215736118326</v>
      </c>
    </row>
    <row r="21" spans="1:4">
      <c r="A21">
        <v>1.059172</v>
      </c>
      <c r="B21">
        <v>3.6971319999999999</v>
      </c>
      <c r="C21">
        <f>LOG10(1.059172)</f>
        <v>2.4966491349566893E-2</v>
      </c>
      <c r="D21">
        <f>LOG10(3.697132)</f>
        <v>0.56786495661806713</v>
      </c>
    </row>
    <row r="22" spans="1:4">
      <c r="A22">
        <v>1.0450200000000001</v>
      </c>
      <c r="B22">
        <v>2.8455859999999999</v>
      </c>
      <c r="C22">
        <f>LOG10(1.04502)</f>
        <v>1.9124602223647535E-2</v>
      </c>
      <c r="D22">
        <f>LOG10(2.845586)</f>
        <v>0.45417171549733898</v>
      </c>
    </row>
    <row r="23" spans="1:4">
      <c r="A23">
        <v>1.0605469999999999</v>
      </c>
      <c r="B23">
        <v>3.7632310000000002</v>
      </c>
      <c r="C23">
        <f>LOG10(1.060547)</f>
        <v>2.5529919800576381E-2</v>
      </c>
      <c r="D23">
        <f>LOG10(3.763231)</f>
        <v>0.57556087761994457</v>
      </c>
    </row>
    <row r="24" spans="1:4">
      <c r="A24">
        <v>1.048163</v>
      </c>
      <c r="B24">
        <v>3.4532180000000001</v>
      </c>
      <c r="C24">
        <f>LOG10(1.048163)</f>
        <v>2.0428825105706479E-2</v>
      </c>
      <c r="D24">
        <f>LOG10(3.453218)</f>
        <v>0.5382239960177313</v>
      </c>
    </row>
    <row r="25" spans="1:4">
      <c r="A25">
        <v>1.055213</v>
      </c>
      <c r="B25">
        <v>3.4686370000000002</v>
      </c>
      <c r="C25">
        <f>LOG10(1.055213)</f>
        <v>2.3340132987026547E-2</v>
      </c>
      <c r="D25">
        <f>LOG10(3.468637)</f>
        <v>0.54015885240885608</v>
      </c>
    </row>
    <row r="26" spans="1:4">
      <c r="A26">
        <v>1.030049</v>
      </c>
      <c r="B26">
        <v>2.6538240000000002</v>
      </c>
      <c r="C26">
        <f>LOG10(1.030049)</f>
        <v>1.2857884825021072E-2</v>
      </c>
      <c r="D26">
        <f>LOG10(2.653824)</f>
        <v>0.42387211733649965</v>
      </c>
    </row>
    <row r="27" spans="1:4">
      <c r="A27">
        <v>1.040456</v>
      </c>
      <c r="B27">
        <v>2.8881359999999998</v>
      </c>
      <c r="C27">
        <f>LOG10(1.040456)</f>
        <v>1.7223718991423918E-2</v>
      </c>
      <c r="D27">
        <f>LOG10(2.888136)</f>
        <v>0.46061763995676969</v>
      </c>
    </row>
    <row r="28" spans="1:4">
      <c r="A28">
        <v>1.0566629999999999</v>
      </c>
      <c r="B28">
        <v>3.2806980000000001</v>
      </c>
      <c r="C28">
        <f>LOG10(1.056663)</f>
        <v>2.3936500479921973E-2</v>
      </c>
      <c r="D28">
        <f>LOG10(3.280698)</f>
        <v>0.51596625386362094</v>
      </c>
    </row>
    <row r="29" spans="1:4">
      <c r="A29">
        <v>1.076309</v>
      </c>
      <c r="B29">
        <v>3.3393890000000002</v>
      </c>
      <c r="C29">
        <f>LOG10(1.076309)</f>
        <v>3.1936971822567432E-2</v>
      </c>
      <c r="D29">
        <f>LOG10(3.339389)</f>
        <v>0.5236670122599032</v>
      </c>
    </row>
    <row r="30" spans="1:4">
      <c r="A30">
        <v>1.1091169999999999</v>
      </c>
      <c r="B30">
        <v>3.323655</v>
      </c>
      <c r="C30">
        <f>LOG10(1.109117)</f>
        <v>4.497736199605161E-2</v>
      </c>
      <c r="D30">
        <f>LOG10(3.323655)</f>
        <v>0.52161593708188347</v>
      </c>
    </row>
    <row r="31" spans="1:4">
      <c r="A31">
        <v>1.096608</v>
      </c>
      <c r="B31">
        <v>3.4711940000000001</v>
      </c>
      <c r="C31">
        <f>LOG10(1.096608)</f>
        <v>4.0051409834150148E-2</v>
      </c>
      <c r="D31">
        <f>LOG10(3.471194)</f>
        <v>0.54047888643864128</v>
      </c>
    </row>
    <row r="32" spans="1:4">
      <c r="A32">
        <v>1.1203529999999999</v>
      </c>
      <c r="B32">
        <v>3.3391380000000002</v>
      </c>
      <c r="C32">
        <f>LOG10(1.120353)</f>
        <v>4.9354881418227574E-2</v>
      </c>
      <c r="D32">
        <f>LOG10(3.339138)</f>
        <v>0.52363436796124008</v>
      </c>
    </row>
    <row r="33" spans="1:4">
      <c r="A33">
        <v>1.0611489999999999</v>
      </c>
      <c r="B33">
        <v>3.1511230000000001</v>
      </c>
      <c r="C33">
        <f>LOG10(1.061149)</f>
        <v>2.5776369136505467E-2</v>
      </c>
      <c r="D33">
        <f>LOG10(3.151123)</f>
        <v>0.49846535562677818</v>
      </c>
    </row>
    <row r="34" spans="1:4">
      <c r="A34">
        <v>1.1399919999999999</v>
      </c>
      <c r="B34">
        <v>3.367696</v>
      </c>
      <c r="C34">
        <f>LOG10(1.139992)</f>
        <v>5.6901803645204127E-2</v>
      </c>
      <c r="D34">
        <f>LOG10(3.367696)</f>
        <v>0.52733288108139642</v>
      </c>
    </row>
    <row r="35" spans="1:4">
      <c r="A35">
        <v>1.10894</v>
      </c>
      <c r="B35">
        <v>3.267245</v>
      </c>
      <c r="C35">
        <f>LOG10(1.10894)</f>
        <v>4.4908048968063607E-2</v>
      </c>
      <c r="D35">
        <f>LOG10(3.267245)</f>
        <v>0.51418170201709401</v>
      </c>
    </row>
    <row r="36" spans="1:4">
      <c r="A36">
        <v>1.078454</v>
      </c>
      <c r="B36">
        <v>3.4352049999999998</v>
      </c>
      <c r="C36">
        <f>LOG10(1.078454)</f>
        <v>3.2801625588569305E-2</v>
      </c>
      <c r="D36">
        <f>LOG10(3.435205)</f>
        <v>0.53595265921572643</v>
      </c>
    </row>
    <row r="37" spans="1:4">
      <c r="A37">
        <v>1.0995269999999999</v>
      </c>
      <c r="B37">
        <v>3.2181329999999999</v>
      </c>
      <c r="C37">
        <f>LOG10(1.099527)</f>
        <v>4.1205898368968229E-2</v>
      </c>
      <c r="D37">
        <f>LOG10(3.218133)</f>
        <v>0.507603988791131</v>
      </c>
    </row>
    <row r="38" spans="1:4">
      <c r="A38">
        <v>1.1019969999999999</v>
      </c>
      <c r="B38">
        <v>3.3095379999999999</v>
      </c>
      <c r="C38">
        <f>LOG10(1.101997)</f>
        <v>4.218041222427877E-2</v>
      </c>
      <c r="D38">
        <f>LOG10(3.309538)</f>
        <v>0.51976737200695933</v>
      </c>
    </row>
    <row r="39" spans="1:4">
      <c r="A39">
        <v>1.1080890000000001</v>
      </c>
      <c r="B39">
        <v>2.7739289999999999</v>
      </c>
      <c r="C39">
        <f>LOG10(1.108089)</f>
        <v>4.4574643656494849E-2</v>
      </c>
      <c r="D39">
        <f>LOG10(2.773929)</f>
        <v>0.44309534091072361</v>
      </c>
    </row>
    <row r="40" spans="1:4">
      <c r="A40">
        <v>1.045852</v>
      </c>
      <c r="B40">
        <v>2.7368929999999998</v>
      </c>
      <c r="C40">
        <f>LOG10(1.045852)</f>
        <v>1.9470231251167813E-2</v>
      </c>
      <c r="D40">
        <f>LOG10(2.736893)</f>
        <v>0.43725781881387793</v>
      </c>
    </row>
    <row r="41" spans="1:4">
      <c r="A41">
        <v>1.1298490000000001</v>
      </c>
      <c r="B41">
        <v>3.327385</v>
      </c>
      <c r="C41">
        <f>LOG10(1.129849)</f>
        <v>5.302040556419154E-2</v>
      </c>
      <c r="D41">
        <f>LOG10(3.327385)</f>
        <v>0.52210305446121885</v>
      </c>
    </row>
    <row r="42" spans="1:4">
      <c r="A42">
        <v>1.110493</v>
      </c>
      <c r="B42">
        <v>3.6124299999999998</v>
      </c>
      <c r="C42">
        <f>LOG10(1.110493)</f>
        <v>4.5515825314970164E-2</v>
      </c>
      <c r="D42">
        <f>LOG10(3.61243)</f>
        <v>0.55779944028826489</v>
      </c>
    </row>
    <row r="43" spans="1:4">
      <c r="A43">
        <v>1.1343620000000001</v>
      </c>
      <c r="B43">
        <v>3.20804</v>
      </c>
      <c r="C43">
        <f>LOG10(1.134362)</f>
        <v>5.4751669648997109E-2</v>
      </c>
      <c r="D43">
        <f>LOG10(3.20804)</f>
        <v>0.50623977472153181</v>
      </c>
    </row>
    <row r="44" spans="1:4">
      <c r="A44">
        <v>1.0621160000000001</v>
      </c>
      <c r="B44">
        <v>2.7444190000000002</v>
      </c>
      <c r="C44">
        <f>LOG10(1.062116)</f>
        <v>2.6171951216967713E-2</v>
      </c>
      <c r="D44">
        <f>LOG10(2.744419)</f>
        <v>0.43845041734676243</v>
      </c>
    </row>
    <row r="45" spans="1:4">
      <c r="A45">
        <v>1.014516</v>
      </c>
      <c r="B45">
        <v>3.2016520000000002</v>
      </c>
      <c r="C45">
        <f>LOG10(1.014516)</f>
        <v>6.2589007108294088E-3</v>
      </c>
      <c r="D45">
        <f>LOG10(3.201652)</f>
        <v>0.50537412499330536</v>
      </c>
    </row>
    <row r="46" spans="1:4">
      <c r="A46">
        <v>1.012068</v>
      </c>
      <c r="B46">
        <v>3.5826210000000001</v>
      </c>
      <c r="C46">
        <f>LOG10(1.012068)</f>
        <v>5.2096933660641049E-3</v>
      </c>
      <c r="D46">
        <f>LOG10(3.582621)</f>
        <v>0.55420086724660211</v>
      </c>
    </row>
    <row r="47" spans="1:4">
      <c r="A47">
        <v>1.011973</v>
      </c>
      <c r="B47">
        <v>3.5008819999999998</v>
      </c>
      <c r="C47">
        <f>LOG10(1.011973)</f>
        <v>5.1689254410951079E-3</v>
      </c>
      <c r="D47">
        <f>LOG10(3.500882)</f>
        <v>0.5441774727723131</v>
      </c>
    </row>
    <row r="48" spans="1:4">
      <c r="A48">
        <v>1.0138069999999999</v>
      </c>
      <c r="B48">
        <v>3.5694189999999999</v>
      </c>
      <c r="C48">
        <f>LOG10(1.013807)</f>
        <v>5.9552855566253659E-3</v>
      </c>
      <c r="D48">
        <f>LOG10(3.569419)</f>
        <v>0.55259753106217924</v>
      </c>
    </row>
    <row r="49" spans="1:4">
      <c r="A49">
        <v>1.0223100000000001</v>
      </c>
      <c r="B49">
        <v>3.2345739999999998</v>
      </c>
      <c r="C49">
        <f>LOG10(1.02231)</f>
        <v>9.5826089835063782E-3</v>
      </c>
      <c r="D49">
        <f>LOG10(3.234574)</f>
        <v>0.50981709130091168</v>
      </c>
    </row>
    <row r="50" spans="1:4">
      <c r="A50">
        <v>1.0034540000000001</v>
      </c>
      <c r="B50">
        <v>2.9491869999999998</v>
      </c>
      <c r="C50">
        <f>LOG10(1.003454)</f>
        <v>1.4974684985790997E-3</v>
      </c>
      <c r="D50">
        <f>LOG10(2.949187)</f>
        <v>0.46970231086760361</v>
      </c>
    </row>
    <row r="51" spans="1:4">
      <c r="A51">
        <v>1.0127299999999999</v>
      </c>
      <c r="B51">
        <v>3.5101849999999999</v>
      </c>
      <c r="C51">
        <f>LOG10(1.01273)</f>
        <v>5.4936752321702769E-3</v>
      </c>
      <c r="D51">
        <f>LOG10(3.510185)</f>
        <v>0.54533000602761506</v>
      </c>
    </row>
    <row r="52" spans="1:4">
      <c r="A52">
        <v>1.0109079999999999</v>
      </c>
      <c r="B52">
        <v>3.5042749999999998</v>
      </c>
      <c r="C52">
        <f>LOG10(1.010908)</f>
        <v>4.7116334244507469E-3</v>
      </c>
      <c r="D52">
        <f>LOG10(3.504275)</f>
        <v>0.54459818034313023</v>
      </c>
    </row>
    <row r="53" spans="1:4">
      <c r="A53">
        <v>1.0113730000000001</v>
      </c>
      <c r="B53">
        <v>3.3794919999999999</v>
      </c>
      <c r="C53">
        <f>LOG10(1.011373)</f>
        <v>4.9113553598733421E-3</v>
      </c>
      <c r="D53">
        <f>LOG10(3.379492)</f>
        <v>0.52885142271028063</v>
      </c>
    </row>
    <row r="54" spans="1:4">
      <c r="A54">
        <v>1.014543</v>
      </c>
      <c r="B54">
        <v>3.5753439999999999</v>
      </c>
      <c r="C54">
        <f>LOG10(1.014543)</f>
        <v>6.2704587296076491E-3</v>
      </c>
      <c r="D54">
        <f>LOG10(3.575344)</f>
        <v>0.55331783358170061</v>
      </c>
    </row>
    <row r="55" spans="1:4">
      <c r="A55">
        <v>1.0068539999999999</v>
      </c>
      <c r="B55">
        <v>2.8070900000000001</v>
      </c>
      <c r="C55">
        <f>LOG10(1.006854)</f>
        <v>2.9664997578512844E-3</v>
      </c>
      <c r="D55">
        <f>LOG10(2.80709)</f>
        <v>0.44825633706506801</v>
      </c>
    </row>
    <row r="56" spans="1:4">
      <c r="A56">
        <v>1.0092920000000001</v>
      </c>
      <c r="B56">
        <v>2.9382709999999999</v>
      </c>
      <c r="C56">
        <f>LOG10(1.009292)</f>
        <v>4.0168308975251209E-3</v>
      </c>
      <c r="D56">
        <f>LOG10(2.938271)</f>
        <v>0.46809184876428317</v>
      </c>
    </row>
    <row r="57" spans="1:4">
      <c r="A57">
        <v>1.0142150000000001</v>
      </c>
      <c r="B57">
        <v>3.4859300000000002</v>
      </c>
      <c r="C57">
        <f>LOG10(1.014215)</f>
        <v>6.1300293720348235E-3</v>
      </c>
      <c r="D57">
        <f>LOG10(3.48593)</f>
        <v>0.54231866191368627</v>
      </c>
    </row>
    <row r="58" spans="1:4">
      <c r="A58">
        <v>1.0104</v>
      </c>
      <c r="B58">
        <v>3.8795570000000001</v>
      </c>
      <c r="C58">
        <f>LOG10(1.0104)</f>
        <v>4.4933375472743153E-3</v>
      </c>
      <c r="D58">
        <f>LOG10(3.879557)</f>
        <v>0.58878213707885974</v>
      </c>
    </row>
    <row r="59" spans="1:4">
      <c r="A59">
        <v>1.013277</v>
      </c>
      <c r="B59">
        <v>3.3813719999999998</v>
      </c>
      <c r="C59">
        <f>LOG10(1.013277)</f>
        <v>5.7281848734235755E-3</v>
      </c>
      <c r="D59">
        <f>LOG10(3.381372)</f>
        <v>0.52909295209085161</v>
      </c>
    </row>
    <row r="60" spans="1:4">
      <c r="A60">
        <v>1.012121</v>
      </c>
      <c r="B60">
        <v>3.2067070000000002</v>
      </c>
      <c r="C60">
        <f>LOG10(1.012121)</f>
        <v>5.2324359138658837E-3</v>
      </c>
      <c r="D60">
        <f>LOG10(3.206707)</f>
        <v>0.50605927982353827</v>
      </c>
    </row>
    <row r="61" spans="1:4">
      <c r="A61">
        <v>1.013965</v>
      </c>
      <c r="B61">
        <v>3.6492969999999998</v>
      </c>
      <c r="C61">
        <f>LOG10(1.013965)</f>
        <v>6.0229642979036007E-3</v>
      </c>
      <c r="D61">
        <f>LOG10(3.649297)</f>
        <v>0.56220921009312386</v>
      </c>
    </row>
    <row r="62" spans="1:4">
      <c r="A62">
        <v>1.0064789999999999</v>
      </c>
      <c r="B62">
        <v>2.6790660000000002</v>
      </c>
      <c r="C62">
        <f>LOG10(1.006479)</f>
        <v>2.8047178443803859E-3</v>
      </c>
      <c r="D62">
        <f>LOG10(2.679066)</f>
        <v>0.42798341278056212</v>
      </c>
    </row>
    <row r="63" spans="1:4">
      <c r="A63">
        <v>1.02582</v>
      </c>
      <c r="B63">
        <v>4.0530929999999996</v>
      </c>
      <c r="C63">
        <f>LOG10(1.02582)</f>
        <v>1.1071162077136626E-2</v>
      </c>
      <c r="D63">
        <f>LOG10(4.053093)</f>
        <v>0.60778656893375749</v>
      </c>
    </row>
    <row r="64" spans="1:4">
      <c r="A64">
        <v>1.0170410000000001</v>
      </c>
      <c r="B64">
        <v>2.6921490000000001</v>
      </c>
      <c r="C64">
        <f>LOG10(1.017041)</f>
        <v>7.3384610002715312E-3</v>
      </c>
      <c r="D64">
        <f>LOG10(2.692149)</f>
        <v>0.43009909273137842</v>
      </c>
    </row>
    <row r="65" spans="1:4">
      <c r="A65">
        <v>1.0250269999999999</v>
      </c>
      <c r="B65">
        <v>2.7364639999999998</v>
      </c>
      <c r="C65">
        <f>LOG10(1.025027)</f>
        <v>1.0735305193309402E-2</v>
      </c>
      <c r="D65">
        <f>LOG10(2.736464)</f>
        <v>0.43718973908397246</v>
      </c>
    </row>
    <row r="66" spans="1:4">
      <c r="A66">
        <v>1.025425</v>
      </c>
      <c r="B66">
        <v>3.9852720000000001</v>
      </c>
      <c r="C66">
        <f>LOG10(1.025425)</f>
        <v>1.0903901391580139E-2</v>
      </c>
      <c r="D66">
        <f>LOG10(3.985272)</f>
        <v>0.60045796790723471</v>
      </c>
    </row>
    <row r="67" spans="1:4">
      <c r="A67">
        <v>1.05</v>
      </c>
      <c r="B67">
        <v>2.286953</v>
      </c>
      <c r="C67">
        <f>LOG10(1.05)</f>
        <v>2.1189299069938092E-2</v>
      </c>
      <c r="D67">
        <f>LOG10(2.286953)</f>
        <v>0.3592572393551553</v>
      </c>
    </row>
    <row r="68" spans="1:4">
      <c r="A68">
        <v>1.0078050000000001</v>
      </c>
      <c r="B68">
        <v>2.662884</v>
      </c>
      <c r="C68">
        <f>LOG10(1.007805)</f>
        <v>3.3765086804195764E-3</v>
      </c>
      <c r="D68">
        <f>LOG10(2.662884)</f>
        <v>0.42535224820493212</v>
      </c>
    </row>
    <row r="69" spans="1:4">
      <c r="A69">
        <v>1.013854</v>
      </c>
      <c r="B69">
        <v>4.1271180000000003</v>
      </c>
      <c r="C69">
        <f>LOG10(1.013854)</f>
        <v>5.9754189424853933E-3</v>
      </c>
      <c r="D69">
        <f>LOG10(4.127118)</f>
        <v>0.61564688613359486</v>
      </c>
    </row>
    <row r="70" spans="1:4">
      <c r="A70">
        <v>1.010033</v>
      </c>
      <c r="B70">
        <v>1.734542</v>
      </c>
      <c r="C70">
        <f>LOG10(1.010033)</f>
        <v>4.3355633705394695E-3</v>
      </c>
      <c r="D70">
        <f>LOG10(1.734542)</f>
        <v>0.2391848202619086</v>
      </c>
    </row>
    <row r="71" spans="1:4">
      <c r="A71">
        <v>1.0178240000000001</v>
      </c>
      <c r="B71">
        <v>2.5771109999999999</v>
      </c>
      <c r="C71">
        <f>LOG10(1.017824)</f>
        <v>7.67268719818985E-3</v>
      </c>
      <c r="D71">
        <f>LOG10(2.577111)</f>
        <v>0.41113312466239466</v>
      </c>
    </row>
    <row r="72" spans="1:4">
      <c r="A72">
        <v>1.0250870000000001</v>
      </c>
      <c r="B72">
        <v>4.150944</v>
      </c>
      <c r="C72">
        <f>LOG10(1.025087)</f>
        <v>1.0760725895691523E-2</v>
      </c>
      <c r="D72">
        <f>LOG10(4.150944)</f>
        <v>0.61814687439151905</v>
      </c>
    </row>
    <row r="73" spans="1:4">
      <c r="A73">
        <v>1.019433</v>
      </c>
      <c r="B73">
        <v>2.550414</v>
      </c>
      <c r="C73">
        <f>LOG10(1.019433)</f>
        <v>8.3586879989466078E-3</v>
      </c>
      <c r="D73">
        <f>LOG10(2.550414)</f>
        <v>0.40661068369737763</v>
      </c>
    </row>
    <row r="74" spans="1:4">
      <c r="A74">
        <v>1.0281849999999999</v>
      </c>
      <c r="B74">
        <v>2.6004779999999998</v>
      </c>
      <c r="C74">
        <f>LOG10(1.028185)</f>
        <v>1.2071263735695923E-2</v>
      </c>
      <c r="D74">
        <f>LOG10(2.600478)</f>
        <v>0.41505318400240365</v>
      </c>
    </row>
    <row r="75" spans="1:4">
      <c r="A75">
        <v>1.0248969999999999</v>
      </c>
      <c r="B75">
        <v>4.3217239999999997</v>
      </c>
      <c r="C75">
        <f>LOG10(1.024897)</f>
        <v>1.0680221899759892E-2</v>
      </c>
      <c r="D75">
        <f>LOG10(4.321724)</f>
        <v>0.63565702790945622</v>
      </c>
    </row>
    <row r="76" spans="1:4">
      <c r="A76">
        <v>1.0082120000000001</v>
      </c>
      <c r="B76">
        <v>2.470828</v>
      </c>
      <c r="C76">
        <f>LOG10(1.008212)</f>
        <v>3.5518622181486799E-3</v>
      </c>
      <c r="D76">
        <f>LOG10(2.470828)</f>
        <v>0.39284251422004818</v>
      </c>
    </row>
    <row r="77" spans="1:4">
      <c r="A77">
        <v>1.007071</v>
      </c>
      <c r="B77">
        <v>2.7706819999999999</v>
      </c>
      <c r="C77">
        <f>LOG10(1.007071)</f>
        <v>3.0600900384603245E-3</v>
      </c>
      <c r="D77">
        <f>LOG10(2.770682)</f>
        <v>0.4425866832812016</v>
      </c>
    </row>
    <row r="78" spans="1:4">
      <c r="A78">
        <v>1.023655</v>
      </c>
      <c r="B78">
        <v>3.965643</v>
      </c>
      <c r="C78">
        <f>LOG10(1.023655)</f>
        <v>1.0153612067435841E-2</v>
      </c>
      <c r="D78">
        <f>LOG10(3.965643)</f>
        <v>0.59831361503605851</v>
      </c>
    </row>
    <row r="79" spans="1:4">
      <c r="A79">
        <v>1.0125459999999999</v>
      </c>
      <c r="B79">
        <v>2.7838829999999999</v>
      </c>
      <c r="C79">
        <f>LOG10(1.012546)</f>
        <v>5.4147623483065043E-3</v>
      </c>
      <c r="D79">
        <f>LOG10(2.783883)</f>
        <v>0.44465097895500033</v>
      </c>
    </row>
    <row r="80" spans="1:4">
      <c r="A80">
        <v>1.0041530000000001</v>
      </c>
      <c r="B80">
        <v>2.7408450000000002</v>
      </c>
      <c r="C80">
        <f>LOG10(1.004153)</f>
        <v>1.7998900931614483E-3</v>
      </c>
      <c r="D80">
        <f>LOG10(2.740845)</f>
        <v>0.43788447605461223</v>
      </c>
    </row>
    <row r="81" spans="1:4">
      <c r="A81">
        <v>1.0137149999999999</v>
      </c>
      <c r="B81">
        <v>3.7249829999999999</v>
      </c>
      <c r="C81">
        <f>LOG10(1.013715)</f>
        <v>5.9158728228917608E-3</v>
      </c>
      <c r="D81">
        <f>LOG10(3.724983)</f>
        <v>0.57112429506470375</v>
      </c>
    </row>
    <row r="82" spans="1:4">
      <c r="A82">
        <v>1.020141</v>
      </c>
      <c r="B82">
        <v>3.4624709999999999</v>
      </c>
      <c r="C82">
        <f>LOG10(1.020141)</f>
        <v>8.6602024382735985E-3</v>
      </c>
      <c r="D82">
        <f>LOG10(3.462471)</f>
        <v>0.53938614464500523</v>
      </c>
    </row>
    <row r="83" spans="1:4">
      <c r="A83">
        <v>1.014664</v>
      </c>
      <c r="B83">
        <v>2.4703379999999999</v>
      </c>
      <c r="C83">
        <f>LOG10(1.014664)</f>
        <v>6.3222519989710926E-3</v>
      </c>
      <c r="D83">
        <f>LOG10(2.470338)</f>
        <v>0.39275637896499693</v>
      </c>
    </row>
    <row r="84" spans="1:4">
      <c r="A84">
        <v>1.004697</v>
      </c>
      <c r="B84">
        <v>2.5336189999999998</v>
      </c>
      <c r="C84">
        <f>LOG10(1.004697)</f>
        <v>2.0351054690536112E-3</v>
      </c>
      <c r="D84">
        <f>LOG10(2.533619)</f>
        <v>0.4037413072174299</v>
      </c>
    </row>
    <row r="85" spans="1:4">
      <c r="A85">
        <v>1.015595</v>
      </c>
      <c r="B85">
        <v>3.4200279999999998</v>
      </c>
      <c r="C85">
        <f>LOG10(1.015595)</f>
        <v>6.7205540786491524E-3</v>
      </c>
      <c r="D85">
        <f>LOG10(3.420028)</f>
        <v>0.53402966166891708</v>
      </c>
    </row>
    <row r="86" spans="1:4">
      <c r="A86">
        <v>1.0213220000000001</v>
      </c>
      <c r="B86">
        <v>3.2977430000000001</v>
      </c>
      <c r="C86">
        <f>LOG10(1.021322)</f>
        <v>9.1626870195228374E-3</v>
      </c>
      <c r="D86">
        <f>LOG10(3.297743)</f>
        <v>0.51821680715116836</v>
      </c>
    </row>
    <row r="87" spans="1:4">
      <c r="A87">
        <v>1.01566</v>
      </c>
      <c r="B87">
        <v>3.3656980000000001</v>
      </c>
      <c r="C87">
        <f>LOG10(1.01566)</f>
        <v>6.7483488570825234E-3</v>
      </c>
      <c r="D87">
        <f>LOG10(3.365698)</f>
        <v>0.52707514467081062</v>
      </c>
    </row>
    <row r="88" spans="1:4">
      <c r="A88">
        <v>1.083715</v>
      </c>
      <c r="B88">
        <v>3.8201550000000002</v>
      </c>
      <c r="C88">
        <f>LOG10(1.083715)</f>
        <v>3.4915084599772203E-2</v>
      </c>
      <c r="D88">
        <f>LOG10(3.820155)</f>
        <v>0.58208098445072309</v>
      </c>
    </row>
    <row r="89" spans="1:4">
      <c r="A89">
        <v>1.1266700000000001</v>
      </c>
      <c r="B89">
        <v>4.0152999999999999</v>
      </c>
      <c r="C89">
        <f>LOG10(1.12667)</f>
        <v>5.1796730451008466E-2</v>
      </c>
      <c r="D89">
        <f>LOG10(4.0153)</f>
        <v>0.60371799879956989</v>
      </c>
    </row>
    <row r="90" spans="1:4">
      <c r="A90">
        <v>1.123138</v>
      </c>
      <c r="B90">
        <v>3.7294010000000002</v>
      </c>
      <c r="C90">
        <f>LOG10(1.123138)</f>
        <v>5.0433121316123208E-2</v>
      </c>
      <c r="D90">
        <f>LOG10(3.729401)</f>
        <v>0.57163908293871291</v>
      </c>
    </row>
    <row r="91" spans="1:4">
      <c r="A91">
        <v>1.102983</v>
      </c>
      <c r="B91">
        <v>3.5103309999999999</v>
      </c>
      <c r="C91">
        <f>LOG10(1.102983)</f>
        <v>4.2568818819983659E-2</v>
      </c>
      <c r="D91">
        <f>LOG10(3.510331)</f>
        <v>0.54534806937064195</v>
      </c>
    </row>
    <row r="92" spans="1:4">
      <c r="A92">
        <v>1.106393</v>
      </c>
      <c r="B92">
        <v>3.7323900000000001</v>
      </c>
      <c r="C92">
        <f>LOG10(1.106393)</f>
        <v>4.390941938705465E-2</v>
      </c>
      <c r="D92">
        <f>LOG10(3.73239)</f>
        <v>0.57198701717483391</v>
      </c>
    </row>
    <row r="93" spans="1:4">
      <c r="A93">
        <v>1.129</v>
      </c>
      <c r="B93">
        <v>3.4175900000000001</v>
      </c>
      <c r="C93">
        <f>LOG10(1.129)</f>
        <v>5.269394192496786E-2</v>
      </c>
      <c r="D93">
        <f>LOG10(3.41759)</f>
        <v>0.53371996025191781</v>
      </c>
    </row>
    <row r="94" spans="1:4">
      <c r="A94">
        <v>1.1098980000000001</v>
      </c>
      <c r="B94">
        <v>3.4672610000000001</v>
      </c>
      <c r="C94">
        <f>LOG10(1.109898)</f>
        <v>4.5283068811347499E-2</v>
      </c>
      <c r="D94">
        <f>LOG10(3.467261)</f>
        <v>0.53998653464555024</v>
      </c>
    </row>
    <row r="95" spans="1:4">
      <c r="A95">
        <v>1.074289</v>
      </c>
      <c r="B95">
        <v>3.5793849999999998</v>
      </c>
      <c r="C95">
        <f>LOG10(1.074289)</f>
        <v>3.1121128869647192E-2</v>
      </c>
      <c r="D95">
        <f>LOG10(3.579385)</f>
        <v>0.55380841378061096</v>
      </c>
    </row>
    <row r="96" spans="1:4">
      <c r="A96">
        <v>1.057223</v>
      </c>
      <c r="B96">
        <v>3.8934319999999998</v>
      </c>
      <c r="C96">
        <f>LOG10(1.057223)</f>
        <v>2.4166602685580404E-2</v>
      </c>
      <c r="D96">
        <f>LOG10(3.893432)</f>
        <v>0.59033259401029436</v>
      </c>
    </row>
    <row r="97" spans="1:4">
      <c r="A97">
        <v>1.0502419999999999</v>
      </c>
      <c r="B97">
        <v>4.1554149999999996</v>
      </c>
      <c r="C97">
        <f>LOG10(1.050242)</f>
        <v>2.128938207474006E-2</v>
      </c>
      <c r="D97">
        <f>LOG10(4.155415)</f>
        <v>0.61861440314054439</v>
      </c>
    </row>
    <row r="98" spans="1:4">
      <c r="A98">
        <v>1.0573399999999999</v>
      </c>
      <c r="B98">
        <v>4.0307459999999997</v>
      </c>
      <c r="C98">
        <f>LOG10(1.05734)</f>
        <v>2.4214662217913564E-2</v>
      </c>
      <c r="D98">
        <f>LOG10(4.030746)</f>
        <v>0.60538543167476222</v>
      </c>
    </row>
    <row r="99" spans="1:4">
      <c r="A99">
        <v>1.0477810000000001</v>
      </c>
      <c r="B99">
        <v>4.2232700000000003</v>
      </c>
      <c r="C99">
        <f>LOG10(1.047781)</f>
        <v>2.0270518878131766E-2</v>
      </c>
      <c r="D99">
        <f>LOG10(4.22327)</f>
        <v>0.62564884741158677</v>
      </c>
    </row>
    <row r="100" spans="1:4">
      <c r="A100">
        <v>1.0552809999999999</v>
      </c>
      <c r="B100">
        <v>4.2078709999999999</v>
      </c>
      <c r="C100">
        <f>LOG10(1.055281)</f>
        <v>2.3368118875429566E-2</v>
      </c>
      <c r="D100">
        <f>LOG10(4.207871)</f>
        <v>0.62406241725620648</v>
      </c>
    </row>
    <row r="101" spans="1:4">
      <c r="A101">
        <v>1.0454829999999999</v>
      </c>
      <c r="B101">
        <v>4.4276179999999998</v>
      </c>
      <c r="C101">
        <f>LOG10(1.045483)</f>
        <v>1.9316975397385097E-2</v>
      </c>
      <c r="D101">
        <f>LOG10(4.427618)</f>
        <v>0.64617014435470921</v>
      </c>
    </row>
    <row r="102" spans="1:4">
      <c r="A102">
        <v>1.055706</v>
      </c>
      <c r="B102">
        <v>4.2577429999999996</v>
      </c>
      <c r="C102">
        <f>LOG10(1.055706)</f>
        <v>2.3542989831340441E-2</v>
      </c>
      <c r="D102">
        <f>LOG10(4.257743)</f>
        <v>0.62917944360997946</v>
      </c>
    </row>
    <row r="103" spans="1:4">
      <c r="A103">
        <v>1.06975</v>
      </c>
      <c r="B103">
        <v>3.890441</v>
      </c>
      <c r="C103">
        <f>LOG10(1.06975)</f>
        <v>2.9282295155970379E-2</v>
      </c>
      <c r="D103">
        <f>LOG10(3.890441)</f>
        <v>0.58999883346222148</v>
      </c>
    </row>
    <row r="104" spans="1:4">
      <c r="A104">
        <v>1.039901</v>
      </c>
      <c r="B104">
        <v>3.9192650000000002</v>
      </c>
      <c r="C104">
        <f>LOG10(1.039901)</f>
        <v>1.6991995837008948E-2</v>
      </c>
      <c r="D104">
        <f>LOG10(3.919265)</f>
        <v>0.59320462917006334</v>
      </c>
    </row>
    <row r="105" spans="1:4">
      <c r="A105">
        <v>1.0662160000000001</v>
      </c>
      <c r="B105">
        <v>3.968763</v>
      </c>
      <c r="C105">
        <f>LOG10(1.066216)</f>
        <v>2.7845195408578292E-2</v>
      </c>
      <c r="D105">
        <f>LOG10(3.968763)</f>
        <v>0.59865516520462236</v>
      </c>
    </row>
    <row r="106" spans="1:4">
      <c r="A106">
        <v>1.0581469999999999</v>
      </c>
      <c r="B106">
        <v>4.1979280000000001</v>
      </c>
      <c r="C106">
        <f>LOG10(1.058147)</f>
        <v>2.4546004990425495E-2</v>
      </c>
      <c r="D106">
        <f>LOG10(4.197928)</f>
        <v>0.62303498558729409</v>
      </c>
    </row>
    <row r="107" spans="1:4">
      <c r="A107">
        <v>1.046781</v>
      </c>
      <c r="B107">
        <v>3.980572</v>
      </c>
      <c r="C107">
        <f>LOG10(1.046781)</f>
        <v>1.9855831210829039E-2</v>
      </c>
      <c r="D107">
        <f>LOG10(3.980572)</f>
        <v>0.59994548378080537</v>
      </c>
    </row>
    <row r="108" spans="1:4">
      <c r="A108">
        <v>1.051388</v>
      </c>
      <c r="B108">
        <v>4.2316830000000003</v>
      </c>
      <c r="C108">
        <f>LOG10(1.051388)</f>
        <v>2.1763015897620787E-2</v>
      </c>
      <c r="D108">
        <f>LOG10(4.231683)</f>
        <v>0.62651312677117699</v>
      </c>
    </row>
    <row r="109" spans="1:4">
      <c r="A109">
        <v>1.053634</v>
      </c>
      <c r="B109">
        <v>4.3781150000000002</v>
      </c>
      <c r="C109">
        <f>LOG10(1.053634)</f>
        <v>2.2689776545733762E-2</v>
      </c>
      <c r="D109">
        <f>LOG10(4.378115)</f>
        <v>0.64128716500018035</v>
      </c>
    </row>
    <row r="110" spans="1:4">
      <c r="A110">
        <v>1.0450140000000001</v>
      </c>
      <c r="B110">
        <v>4.105626</v>
      </c>
      <c r="C110">
        <f>LOG10(1.045014)</f>
        <v>1.9122108707378033E-2</v>
      </c>
      <c r="D110">
        <f>LOG10(4.105626)</f>
        <v>0.61337938499217848</v>
      </c>
    </row>
    <row r="111" spans="1:4">
      <c r="A111">
        <v>1.0631699999999999</v>
      </c>
      <c r="B111">
        <v>3.763531</v>
      </c>
      <c r="C111">
        <f>LOG10(1.06317)</f>
        <v>2.6602713402813317E-2</v>
      </c>
      <c r="D111">
        <f>LOG10(3.763531)</f>
        <v>0.5755954976450337</v>
      </c>
    </row>
    <row r="112" spans="1:4">
      <c r="A112">
        <v>1.06718</v>
      </c>
      <c r="B112">
        <v>3.7499419999999999</v>
      </c>
      <c r="C112">
        <f>LOG10(1.06718)</f>
        <v>2.82376775441486E-2</v>
      </c>
      <c r="D112">
        <f>LOG10(3.749942)</f>
        <v>0.57402455058778601</v>
      </c>
    </row>
    <row r="113" spans="1:4">
      <c r="A113">
        <v>1.1191880000000001</v>
      </c>
      <c r="B113">
        <v>3.6923249999999999</v>
      </c>
      <c r="C113">
        <f>LOG10(1.119188)</f>
        <v>4.8903044977586532E-2</v>
      </c>
      <c r="D113">
        <f>LOG10(3.692325)</f>
        <v>0.56729992081936309</v>
      </c>
    </row>
    <row r="114" spans="1:4">
      <c r="A114">
        <v>1.1261099999999999</v>
      </c>
      <c r="B114">
        <v>3.630325</v>
      </c>
      <c r="C114">
        <f>LOG10(1.12611)</f>
        <v>5.1580815079888945E-2</v>
      </c>
      <c r="D114">
        <f>LOG10(3.630325)</f>
        <v>0.55994550641035201</v>
      </c>
    </row>
    <row r="115" spans="1:4">
      <c r="A115">
        <v>1.1259380000000001</v>
      </c>
      <c r="B115">
        <v>3.6289229999999999</v>
      </c>
      <c r="C115">
        <f>LOG10(1.125938)</f>
        <v>5.1514476661673587E-2</v>
      </c>
      <c r="D115">
        <f>LOG10(3.628923)</f>
        <v>0.55977775325707813</v>
      </c>
    </row>
    <row r="116" spans="1:4">
      <c r="A116">
        <v>1.122136</v>
      </c>
      <c r="B116">
        <v>3.6973280000000002</v>
      </c>
      <c r="C116">
        <f>LOG10(1.122136)</f>
        <v>5.0045495485373195E-2</v>
      </c>
      <c r="D116">
        <f>LOG10(3.697328)</f>
        <v>0.56788797972414196</v>
      </c>
    </row>
    <row r="117" spans="1:4">
      <c r="A117">
        <v>1.1259619999999999</v>
      </c>
      <c r="B117">
        <v>4.0477829999999999</v>
      </c>
      <c r="C117">
        <f>LOG10(1.125962)</f>
        <v>5.1523733793487597E-2</v>
      </c>
      <c r="D117">
        <f>LOG10(4.047783)</f>
        <v>0.60721722210529439</v>
      </c>
    </row>
    <row r="118" spans="1:4">
      <c r="A118">
        <v>1.1159079999999999</v>
      </c>
      <c r="B118">
        <v>4.1937319999999998</v>
      </c>
      <c r="C118">
        <f>LOG10(1.115908)</f>
        <v>4.7628391071703184E-2</v>
      </c>
      <c r="D118">
        <f>LOG10(4.193732)</f>
        <v>0.62260067347313863</v>
      </c>
    </row>
    <row r="119" spans="1:4">
      <c r="A119">
        <v>1.103081</v>
      </c>
      <c r="B119">
        <v>4.0176309999999997</v>
      </c>
      <c r="C119">
        <f>LOG10(1.103081)</f>
        <v>4.2607404155000674E-2</v>
      </c>
      <c r="D119">
        <f>LOG10(4.017631)</f>
        <v>0.60397004639358787</v>
      </c>
    </row>
    <row r="120" spans="1:4">
      <c r="A120">
        <v>1.1020049999999999</v>
      </c>
      <c r="B120">
        <v>4.0720130000000001</v>
      </c>
      <c r="C120">
        <f>LOG10(1.102005)</f>
        <v>4.2183564994426208E-2</v>
      </c>
      <c r="D120">
        <f>LOG10(4.072013)</f>
        <v>0.60980915582655415</v>
      </c>
    </row>
    <row r="121" spans="1:4">
      <c r="A121">
        <v>1.1087560000000001</v>
      </c>
      <c r="B121">
        <v>4.0366059999999999</v>
      </c>
      <c r="C121">
        <f>LOG10(1.108756)</f>
        <v>4.4835983017767859E-2</v>
      </c>
      <c r="D121">
        <f>LOG10(4.036606)</f>
        <v>0.6060163614052505</v>
      </c>
    </row>
    <row r="122" spans="1:4">
      <c r="A122">
        <v>1.125159</v>
      </c>
      <c r="B122">
        <v>3.8909400000000001</v>
      </c>
      <c r="C122">
        <f>LOG10(1.125159)</f>
        <v>5.1213898397025337E-2</v>
      </c>
      <c r="D122">
        <f>LOG10(3.89094)</f>
        <v>0.59005453384413742</v>
      </c>
    </row>
    <row r="123" spans="1:4">
      <c r="A123">
        <v>1.104017</v>
      </c>
      <c r="B123">
        <v>3.9798209999999998</v>
      </c>
      <c r="C123">
        <f>LOG10(1.104017)</f>
        <v>4.2975760847300704E-2</v>
      </c>
      <c r="D123">
        <f>LOG10(3.979821)</f>
        <v>0.59986353929467839</v>
      </c>
    </row>
    <row r="124" spans="1:4">
      <c r="A124">
        <v>1.100463</v>
      </c>
      <c r="B124">
        <v>3.9857999999999998</v>
      </c>
      <c r="C124">
        <f>LOG10(1.100463)</f>
        <v>4.1575445193807195E-2</v>
      </c>
      <c r="D124">
        <f>LOG10(3.9858)</f>
        <v>0.60051550282519306</v>
      </c>
    </row>
    <row r="125" spans="1:4">
      <c r="A125">
        <v>1.075874</v>
      </c>
      <c r="B125">
        <v>4.0557509999999999</v>
      </c>
      <c r="C125">
        <f>LOG10(1.075874)</f>
        <v>3.1761412307228357E-2</v>
      </c>
      <c r="D125">
        <f>LOG10(4.055751)</f>
        <v>0.608071283937337</v>
      </c>
    </row>
    <row r="126" spans="1:4">
      <c r="A126">
        <v>1.0937239999999999</v>
      </c>
      <c r="B126">
        <v>3.702226</v>
      </c>
      <c r="C126">
        <f>LOG10(1.093724)</f>
        <v>3.8907742107406412E-2</v>
      </c>
      <c r="D126">
        <f>LOG10(3.702226)</f>
        <v>0.56846292645283358</v>
      </c>
    </row>
    <row r="127" spans="1:4">
      <c r="A127">
        <v>1.1474949999999999</v>
      </c>
      <c r="B127">
        <v>3.496604</v>
      </c>
      <c r="C127">
        <f>LOG10(1.147495)</f>
        <v>5.9750801854492372E-2</v>
      </c>
      <c r="D127">
        <f>LOG10(3.496604)</f>
        <v>0.54364645005213741</v>
      </c>
    </row>
    <row r="128" spans="1:4">
      <c r="A128">
        <v>1.1195310000000001</v>
      </c>
      <c r="B128">
        <v>3.6778059999999999</v>
      </c>
      <c r="C128">
        <f>LOG10(1.119531)</f>
        <v>4.9036123768143453E-2</v>
      </c>
      <c r="D128">
        <f>LOG10(3.677806)</f>
        <v>0.56558881697612673</v>
      </c>
    </row>
    <row r="129" spans="1:4">
      <c r="A129">
        <v>1.0765389999999999</v>
      </c>
      <c r="B129">
        <v>3.1395240000000002</v>
      </c>
      <c r="C129">
        <f>LOG10(1.076539)</f>
        <v>3.2029767720111298E-2</v>
      </c>
      <c r="D129">
        <f>LOG10(3.139524)</f>
        <v>0.49686380735860608</v>
      </c>
    </row>
    <row r="130" spans="1:4">
      <c r="A130">
        <v>1.168002</v>
      </c>
      <c r="B130">
        <v>3.3500209999999999</v>
      </c>
      <c r="C130">
        <f>LOG10(1.168002)</f>
        <v>6.7443586430678756E-2</v>
      </c>
      <c r="D130">
        <f>LOG10(3.350021)</f>
        <v>0.52504752947133315</v>
      </c>
    </row>
    <row r="131" spans="1:4">
      <c r="A131">
        <v>1.135756</v>
      </c>
      <c r="B131">
        <v>3.5256310000000002</v>
      </c>
      <c r="C131">
        <f>LOG10(1.135756)</f>
        <v>5.5285039794397327E-2</v>
      </c>
      <c r="D131">
        <f>LOG10(3.525631)</f>
        <v>0.54723685616244511</v>
      </c>
    </row>
    <row r="132" spans="1:4">
      <c r="A132">
        <v>1.144547</v>
      </c>
      <c r="B132">
        <v>3.3236409999999998</v>
      </c>
      <c r="C132">
        <f>LOG10(1.144547)</f>
        <v>5.8633631367525384E-2</v>
      </c>
      <c r="D132">
        <f>LOG10(3.323641)</f>
        <v>0.52161410772969374</v>
      </c>
    </row>
    <row r="133" spans="1:4">
      <c r="A133">
        <v>1.1562760000000001</v>
      </c>
      <c r="B133">
        <v>4.0542230000000004</v>
      </c>
      <c r="C133">
        <f>LOG10(1.156276)</f>
        <v>6.3061511394290393E-2</v>
      </c>
      <c r="D133">
        <f>LOG10(4.054223)</f>
        <v>0.60790763311029361</v>
      </c>
    </row>
    <row r="134" spans="1:4">
      <c r="A134">
        <v>1.176599</v>
      </c>
      <c r="B134">
        <v>4.0391899999999996</v>
      </c>
      <c r="C134">
        <f>LOG10(1.176599)</f>
        <v>7.0628474941563255E-2</v>
      </c>
      <c r="D134">
        <f>LOG10(4.03919)</f>
        <v>0.6062942824868468</v>
      </c>
    </row>
    <row r="135" spans="1:4">
      <c r="A135">
        <v>1.170515</v>
      </c>
      <c r="B135">
        <v>3.6321370000000002</v>
      </c>
      <c r="C135">
        <f>LOG10(1.170515)</f>
        <v>6.8376983496536911E-2</v>
      </c>
      <c r="D135">
        <f>LOG10(3.632137)</f>
        <v>0.56016222124274306</v>
      </c>
    </row>
    <row r="136" spans="1:4">
      <c r="A136">
        <v>1.1142099999999999</v>
      </c>
      <c r="B136">
        <v>3.149438</v>
      </c>
      <c r="C136">
        <f>LOG10(1.11421)</f>
        <v>4.6967051920345643E-2</v>
      </c>
      <c r="D136">
        <f>LOG10(3.149438)</f>
        <v>0.4982330632263226</v>
      </c>
    </row>
    <row r="137" spans="1:4">
      <c r="A137">
        <v>1.013849</v>
      </c>
      <c r="B137">
        <v>3.7981099999999999</v>
      </c>
      <c r="C137">
        <f>LOG10(1.013849)</f>
        <v>5.9732771372905157E-3</v>
      </c>
      <c r="D137">
        <f>LOG10(3.79811)</f>
        <v>0.5795675385213821</v>
      </c>
    </row>
    <row r="138" spans="1:4">
      <c r="A138">
        <v>1.0111589999999999</v>
      </c>
      <c r="B138">
        <v>3.718575</v>
      </c>
      <c r="C138">
        <f>LOG10(1.011159)</f>
        <v>4.8194517267301411E-3</v>
      </c>
      <c r="D138">
        <f>LOG10(3.718575)</f>
        <v>0.57037654520434633</v>
      </c>
    </row>
    <row r="139" spans="1:4">
      <c r="A139">
        <v>1.010505</v>
      </c>
      <c r="B139">
        <v>3.4218860000000002</v>
      </c>
      <c r="C139">
        <f>LOG10(1.010505)</f>
        <v>4.5384667548727768E-3</v>
      </c>
      <c r="D139">
        <f>LOG10(3.421886)</f>
        <v>0.53426553694218482</v>
      </c>
    </row>
    <row r="140" spans="1:4">
      <c r="A140">
        <v>1.0128429999999999</v>
      </c>
      <c r="B140">
        <v>3.4745949999999999</v>
      </c>
      <c r="C140">
        <f>LOG10(1.012843)</f>
        <v>5.5421309298972809E-3</v>
      </c>
      <c r="D140">
        <f>LOG10(3.474595)</f>
        <v>0.54090419036048387</v>
      </c>
    </row>
    <row r="141" spans="1:4">
      <c r="A141">
        <v>1.012202</v>
      </c>
      <c r="B141">
        <v>3.5250029999999999</v>
      </c>
      <c r="C141">
        <f>LOG10(1.012202)</f>
        <v>5.2671910918221055E-3</v>
      </c>
      <c r="D141">
        <f>LOG10(3.525003)</f>
        <v>0.54715949093958527</v>
      </c>
    </row>
    <row r="142" spans="1:4">
      <c r="A142">
        <v>1.0138339999999999</v>
      </c>
      <c r="B142">
        <v>3.9159389999999998</v>
      </c>
      <c r="C142">
        <f>LOG10(1.013834)</f>
        <v>5.9668516583288528E-3</v>
      </c>
      <c r="D142">
        <f>LOG10(3.915939)</f>
        <v>0.5928359180213626</v>
      </c>
    </row>
    <row r="143" spans="1:4">
      <c r="A143">
        <v>1.016146</v>
      </c>
      <c r="B143">
        <v>4.4044809999999996</v>
      </c>
      <c r="C143">
        <f>LOG10(1.016146)</f>
        <v>6.9561119232712833E-3</v>
      </c>
      <c r="D143">
        <f>LOG10(4.404481)</f>
        <v>0.64389474087168297</v>
      </c>
    </row>
    <row r="144" spans="1:4">
      <c r="A144">
        <v>1.0137499999999999</v>
      </c>
      <c r="B144">
        <v>4.122681</v>
      </c>
      <c r="C144">
        <f>LOG10(1.01375)</f>
        <v>5.930867219212415E-3</v>
      </c>
      <c r="D144">
        <f>LOG10(4.122681)</f>
        <v>0.61517973176971164</v>
      </c>
    </row>
    <row r="145" spans="1:4">
      <c r="A145">
        <v>1.4421520000000001</v>
      </c>
      <c r="B145">
        <v>3.7180870000000001</v>
      </c>
      <c r="C145">
        <f>LOG10(1.442152)</f>
        <v>0.15901103658474114</v>
      </c>
      <c r="D145">
        <f>LOG10(3.718087)</f>
        <v>0.57031954766769</v>
      </c>
    </row>
    <row r="146" spans="1:4">
      <c r="A146">
        <v>1.0108820000000001</v>
      </c>
      <c r="B146">
        <v>3.9673240000000001</v>
      </c>
      <c r="C146">
        <f>LOG10(1.010882)</f>
        <v>4.7004634646329157E-3</v>
      </c>
      <c r="D146">
        <f>LOG10(3.967324)</f>
        <v>0.59849766951025618</v>
      </c>
    </row>
    <row r="147" spans="1:4">
      <c r="A147">
        <v>1.0127200000000001</v>
      </c>
      <c r="B147">
        <v>4.1344289999999999</v>
      </c>
      <c r="C147">
        <f>LOG10(1.01272)</f>
        <v>5.4893868569262571E-3</v>
      </c>
      <c r="D147">
        <f>LOG10(4.134429)</f>
        <v>0.61641553824827378</v>
      </c>
    </row>
    <row r="148" spans="1:4">
      <c r="A148">
        <v>1.012259</v>
      </c>
      <c r="B148">
        <v>3.850069</v>
      </c>
      <c r="C148">
        <f>LOG10(1.012259)</f>
        <v>5.2916467720994882E-3</v>
      </c>
      <c r="D148">
        <f>LOG10(3.850069)</f>
        <v>0.58546851289829938</v>
      </c>
    </row>
    <row r="149" spans="1:4">
      <c r="A149">
        <v>1.010853</v>
      </c>
      <c r="B149">
        <v>3.5580940000000001</v>
      </c>
      <c r="C149">
        <f>LOG10(1.010853)</f>
        <v>4.6880043243637086E-3</v>
      </c>
      <c r="D149">
        <f>LOG10(3.558094)</f>
        <v>0.55121741736849117</v>
      </c>
    </row>
    <row r="150" spans="1:4">
      <c r="A150">
        <v>1.0123679999999999</v>
      </c>
      <c r="B150">
        <v>3.8536100000000002</v>
      </c>
      <c r="C150">
        <f>LOG10(1.012368)</f>
        <v>5.3384090632011601E-3</v>
      </c>
      <c r="D150">
        <f>LOG10(3.85361)</f>
        <v>0.58586776028872767</v>
      </c>
    </row>
    <row r="151" spans="1:4">
      <c r="A151">
        <v>1.010205</v>
      </c>
      <c r="B151">
        <v>3.5340240000000001</v>
      </c>
      <c r="C151">
        <f>LOG10(1.010205)</f>
        <v>4.4095137180409734E-3</v>
      </c>
      <c r="D151">
        <f>LOG10(3.534024)</f>
        <v>0.54826949452902862</v>
      </c>
    </row>
    <row r="152" spans="1:4">
      <c r="A152">
        <v>1.0120279999999999</v>
      </c>
      <c r="B152">
        <v>3.615307</v>
      </c>
      <c r="C152">
        <f>LOG10(1.012028)</f>
        <v>5.1925283904123484E-3</v>
      </c>
      <c r="D152">
        <f>LOG10(3.615307)</f>
        <v>0.55814518205790198</v>
      </c>
    </row>
    <row r="153" spans="1:4">
      <c r="A153">
        <v>1.017496</v>
      </c>
      <c r="B153">
        <v>3.6521590000000002</v>
      </c>
      <c r="C153">
        <f>LOG10(1.017496)</f>
        <v>7.5327105937271887E-3</v>
      </c>
      <c r="D153">
        <f>LOG10(3.652159)</f>
        <v>0.56254967667153377</v>
      </c>
    </row>
    <row r="154" spans="1:4">
      <c r="A154">
        <v>1.0489649999999999</v>
      </c>
      <c r="B154">
        <v>3.9574959999999999</v>
      </c>
      <c r="C154">
        <f>LOG10(1.048965)</f>
        <v>2.0760997668817879E-2</v>
      </c>
      <c r="D154">
        <f>LOG10(3.957496)</f>
        <v>0.59742048457575658</v>
      </c>
    </row>
    <row r="155" spans="1:4">
      <c r="A155">
        <v>1.032613</v>
      </c>
      <c r="B155">
        <v>4.177333</v>
      </c>
      <c r="C155">
        <f>LOG10(1.032613)</f>
        <v>1.3937588261780823E-2</v>
      </c>
      <c r="D155">
        <f>LOG10(4.177333)</f>
        <v>0.62089909683516153</v>
      </c>
    </row>
    <row r="156" spans="1:4">
      <c r="A156">
        <v>1.0183770000000001</v>
      </c>
      <c r="B156">
        <v>4.0933450000000002</v>
      </c>
      <c r="C156">
        <f>LOG10(1.018377)</f>
        <v>7.9085822344826338E-3</v>
      </c>
      <c r="D156">
        <f>LOG10(4.093345)</f>
        <v>0.61207834989372789</v>
      </c>
    </row>
    <row r="157" spans="1:4">
      <c r="A157">
        <v>1.018616</v>
      </c>
      <c r="B157">
        <v>4.2461580000000003</v>
      </c>
      <c r="C157">
        <f>LOG10(1.018616)</f>
        <v>8.010493612333339E-3</v>
      </c>
      <c r="D157">
        <f>LOG10(4.246158)</f>
        <v>0.62799615027545186</v>
      </c>
    </row>
    <row r="158" spans="1:4">
      <c r="A158">
        <v>1.0190889999999999</v>
      </c>
      <c r="B158">
        <v>4.2104520000000001</v>
      </c>
      <c r="C158">
        <f>LOG10(1.019089)</f>
        <v>8.2121138602393728E-3</v>
      </c>
      <c r="D158">
        <f>LOG10(4.210452)</f>
        <v>0.62432872067386203</v>
      </c>
    </row>
    <row r="159" spans="1:4">
      <c r="A159">
        <v>1.0129060000000001</v>
      </c>
      <c r="B159">
        <v>4.4387259999999999</v>
      </c>
      <c r="C159">
        <f>LOG10(1.012906)</f>
        <v>5.5691437062765749E-3</v>
      </c>
      <c r="D159">
        <f>LOG10(4.438726)</f>
        <v>0.64725833710449154</v>
      </c>
    </row>
    <row r="160" spans="1:4">
      <c r="A160">
        <v>1.0162899999999999</v>
      </c>
      <c r="B160">
        <v>4.23109</v>
      </c>
      <c r="C160">
        <f>LOG10(1.01629)</f>
        <v>7.0176522674677833E-3</v>
      </c>
      <c r="D160">
        <f>LOG10(4.23109)</f>
        <v>0.62645226335721327</v>
      </c>
    </row>
    <row r="161" spans="1:4">
      <c r="A161">
        <v>1.018448</v>
      </c>
      <c r="B161">
        <v>3.894304</v>
      </c>
      <c r="C161">
        <f>LOG10(1.018448)</f>
        <v>7.9388596596198843E-3</v>
      </c>
      <c r="D161">
        <f>LOG10(3.894304)</f>
        <v>0.59042985072002419</v>
      </c>
    </row>
    <row r="162" spans="1:4">
      <c r="A162">
        <v>1.0142119999999999</v>
      </c>
      <c r="B162">
        <v>3.9360309999999998</v>
      </c>
      <c r="C162">
        <f>LOG10(1.014212)</f>
        <v>6.128744747598453E-3</v>
      </c>
      <c r="D162">
        <f>LOG10(3.936031)</f>
        <v>0.59505851025623513</v>
      </c>
    </row>
    <row r="163" spans="1:4">
      <c r="A163">
        <v>1.0280750000000001</v>
      </c>
      <c r="B163">
        <v>3.9734880000000001</v>
      </c>
      <c r="C163">
        <f>LOG10(1.028075)</f>
        <v>1.2024798412191253E-2</v>
      </c>
      <c r="D163">
        <f>LOG10(3.973488)</f>
        <v>0.59917190577831747</v>
      </c>
    </row>
    <row r="164" spans="1:4">
      <c r="A164">
        <v>1.0236160000000001</v>
      </c>
      <c r="B164">
        <v>4.2649080000000001</v>
      </c>
      <c r="C164">
        <f>LOG10(1.023616)</f>
        <v>1.0137065665131279E-2</v>
      </c>
      <c r="D164">
        <f>LOG10(4.264908)</f>
        <v>0.62990966726830733</v>
      </c>
    </row>
    <row r="165" spans="1:4">
      <c r="A165">
        <v>1.0259910000000001</v>
      </c>
      <c r="B165">
        <v>4.0753979999999999</v>
      </c>
      <c r="C165">
        <f>LOG10(1.025991)</f>
        <v>1.1143551158370188E-2</v>
      </c>
      <c r="D165">
        <f>LOG10(4.075398)</f>
        <v>0.61017002798725128</v>
      </c>
    </row>
    <row r="166" spans="1:4">
      <c r="A166">
        <v>1.0212239999999999</v>
      </c>
      <c r="B166">
        <v>4.2936759999999996</v>
      </c>
      <c r="C166">
        <f>LOG10(1.021224)</f>
        <v>9.1210126981031529E-3</v>
      </c>
      <c r="D166">
        <f>LOG10(4.293676)</f>
        <v>0.63282926955504315</v>
      </c>
    </row>
    <row r="167" spans="1:4">
      <c r="A167">
        <v>1.0285550000000001</v>
      </c>
      <c r="B167">
        <v>4.4794320000000001</v>
      </c>
      <c r="C167">
        <f>LOG10(1.028555)</f>
        <v>1.22275197136394E-2</v>
      </c>
      <c r="D167">
        <f>LOG10(4.479432)</f>
        <v>0.65122294817119164</v>
      </c>
    </row>
    <row r="168" spans="1:4">
      <c r="A168">
        <v>1.0132989999999999</v>
      </c>
      <c r="B168">
        <v>4.1911449999999997</v>
      </c>
      <c r="C168">
        <f>LOG10(1.013299)</f>
        <v>5.7376140570339924E-3</v>
      </c>
      <c r="D168">
        <f>LOG10(4.191145)</f>
        <v>0.6223326862718157</v>
      </c>
    </row>
    <row r="169" spans="1:4">
      <c r="A169">
        <v>1.0153939999999999</v>
      </c>
      <c r="B169">
        <v>3.7941579999999999</v>
      </c>
      <c r="C169">
        <f>LOG10(1.015394)</f>
        <v>6.634592814311828E-3</v>
      </c>
      <c r="D169">
        <f>LOG10(3.794158)</f>
        <v>0.57911541224040897</v>
      </c>
    </row>
    <row r="170" spans="1:4">
      <c r="A170">
        <v>1.011868</v>
      </c>
      <c r="B170">
        <v>3.7719140000000002</v>
      </c>
      <c r="C170">
        <f>LOG10(1.011868)</f>
        <v>5.1238617027473173E-3</v>
      </c>
      <c r="D170">
        <f>LOG10(3.771914)</f>
        <v>0.57656178222244225</v>
      </c>
    </row>
    <row r="171" spans="1:4">
      <c r="A171">
        <v>1.013422</v>
      </c>
      <c r="B171">
        <v>3.7321209999999998</v>
      </c>
      <c r="C171">
        <f>LOG10(1.013422)</f>
        <v>5.7903279938212706E-3</v>
      </c>
      <c r="D171">
        <f>LOG10(3.732121)</f>
        <v>0.57195571566943526</v>
      </c>
    </row>
    <row r="172" spans="1:4">
      <c r="A172">
        <v>1.0124519999999999</v>
      </c>
      <c r="B172">
        <v>3.6382949999999998</v>
      </c>
      <c r="C172">
        <f>LOG10(1.012452)</f>
        <v>5.3744426232220904E-3</v>
      </c>
      <c r="D172">
        <f>LOG10(3.638295)</f>
        <v>0.5608979095922364</v>
      </c>
    </row>
    <row r="173" spans="1:4">
      <c r="A173">
        <v>1.014238</v>
      </c>
      <c r="B173">
        <v>3.7696200000000002</v>
      </c>
      <c r="C173">
        <f>LOG10(1.014238)</f>
        <v>6.1398780331417381E-3</v>
      </c>
      <c r="D173">
        <f>LOG10(3.76962)</f>
        <v>0.57629757295885919</v>
      </c>
    </row>
    <row r="174" spans="1:4">
      <c r="A174">
        <v>1.0151490000000001</v>
      </c>
      <c r="B174">
        <v>3.8120820000000002</v>
      </c>
      <c r="C174">
        <f>LOG10(1.015149)</f>
        <v>6.5297911444308519E-3</v>
      </c>
      <c r="D174">
        <f>LOG10(3.812082)</f>
        <v>0.58116223398215838</v>
      </c>
    </row>
    <row r="175" spans="1:4">
      <c r="A175">
        <v>1.017882</v>
      </c>
      <c r="B175">
        <v>4.1852429999999998</v>
      </c>
      <c r="C175">
        <f>LOG10(1.017882)</f>
        <v>7.6974344651892668E-3</v>
      </c>
      <c r="D175">
        <f>LOG10(4.185243)</f>
        <v>0.621720678696147</v>
      </c>
    </row>
    <row r="176" spans="1:4">
      <c r="A176">
        <v>1.013363</v>
      </c>
      <c r="B176">
        <v>4.4247649999999998</v>
      </c>
      <c r="C176">
        <f>LOG10(1.013363)</f>
        <v>5.7650432453752896E-3</v>
      </c>
      <c r="D176">
        <f>LOG10(4.424765)</f>
        <v>0.64589021019466009</v>
      </c>
    </row>
    <row r="177" spans="1:4">
      <c r="A177">
        <v>1.0202059999999999</v>
      </c>
      <c r="B177">
        <v>4.2605599999999999</v>
      </c>
      <c r="C177">
        <f>LOG10(1.020206)</f>
        <v>8.6878733602621175E-3</v>
      </c>
      <c r="D177">
        <f>LOG10(4.26056)</f>
        <v>0.6294666857050587</v>
      </c>
    </row>
    <row r="178" spans="1:4">
      <c r="A178">
        <v>1.0145189999999999</v>
      </c>
      <c r="B178">
        <v>4.2378819999999999</v>
      </c>
      <c r="C178">
        <f>LOG10(1.014519)</f>
        <v>6.2601849503281844E-3</v>
      </c>
      <c r="D178">
        <f>LOG10(4.237882)</f>
        <v>0.62714886000518688</v>
      </c>
    </row>
    <row r="179" spans="1:4">
      <c r="A179">
        <v>1.016221</v>
      </c>
      <c r="B179">
        <v>4.1632499999999997</v>
      </c>
      <c r="C179">
        <f>LOG10(1.016221)</f>
        <v>6.9881652740268804E-3</v>
      </c>
      <c r="D179">
        <f>LOG10(4.16325)</f>
        <v>0.61943249072356066</v>
      </c>
    </row>
    <row r="180" spans="1:4">
      <c r="A180">
        <v>1.014939</v>
      </c>
      <c r="B180">
        <v>4.1411189999999998</v>
      </c>
      <c r="C180">
        <f>LOG10(1.014939)</f>
        <v>6.439941008353E-3</v>
      </c>
      <c r="D180">
        <f>LOG10(4.141119)</f>
        <v>0.61711771065228893</v>
      </c>
    </row>
    <row r="181" spans="1:4">
      <c r="A181">
        <v>1.013015</v>
      </c>
      <c r="B181">
        <v>4.2177449999999999</v>
      </c>
      <c r="C181">
        <f>LOG10(1.013015)</f>
        <v>5.6158761292813171E-3</v>
      </c>
      <c r="D181">
        <f>LOG10(4.217745)</f>
        <v>0.6250803192534965</v>
      </c>
    </row>
    <row r="182" spans="1:4">
      <c r="A182">
        <v>1.0212589999999999</v>
      </c>
      <c r="B182">
        <v>4.2786369999999998</v>
      </c>
      <c r="C182">
        <f>LOG10(1.021259)</f>
        <v>9.1358968433989576E-3</v>
      </c>
      <c r="D182">
        <f>LOG10(4.278637)</f>
        <v>0.63130544245864273</v>
      </c>
    </row>
    <row r="183" spans="1:4">
      <c r="A183">
        <v>1.011563</v>
      </c>
      <c r="B183">
        <v>4.304989</v>
      </c>
      <c r="C183">
        <f>LOG10(1.011563)</f>
        <v>4.992935747788944E-3</v>
      </c>
      <c r="D183">
        <f>LOG10(4.304989)</f>
        <v>0.63397204609271551</v>
      </c>
    </row>
    <row r="184" spans="1:4">
      <c r="A184">
        <v>1.1309769999999999</v>
      </c>
      <c r="B184">
        <v>3.9909949999999998</v>
      </c>
      <c r="C184">
        <f>LOG10(1.130977)</f>
        <v>5.345377302921217E-2</v>
      </c>
      <c r="D184">
        <f>LOG10(3.990995)</f>
        <v>0.60108118369137231</v>
      </c>
    </row>
    <row r="185" spans="1:4">
      <c r="A185">
        <v>1.1722220000000001</v>
      </c>
      <c r="B185">
        <v>3.9329420000000002</v>
      </c>
      <c r="C185">
        <f>LOG10(1.172222)</f>
        <v>6.9009867863671359E-2</v>
      </c>
      <c r="D185">
        <f>LOG10(3.932942)</f>
        <v>0.59471754181638692</v>
      </c>
    </row>
    <row r="186" spans="1:4">
      <c r="A186">
        <v>1.130341</v>
      </c>
      <c r="B186">
        <v>3.897567</v>
      </c>
      <c r="C186">
        <f>LOG10(1.130341)</f>
        <v>5.3209480720237123E-2</v>
      </c>
      <c r="D186">
        <f>LOG10(3.897567)</f>
        <v>0.59079358953892624</v>
      </c>
    </row>
    <row r="187" spans="1:4">
      <c r="A187">
        <v>1.149362</v>
      </c>
      <c r="B187">
        <v>3.8260049999999999</v>
      </c>
      <c r="C187">
        <f>LOG10(1.149362)</f>
        <v>6.045683446887936E-2</v>
      </c>
      <c r="D187">
        <f>LOG10(3.826005)</f>
        <v>0.58274553324773037</v>
      </c>
    </row>
    <row r="188" spans="1:4">
      <c r="A188">
        <v>1.1400410000000001</v>
      </c>
      <c r="B188">
        <v>3.904728</v>
      </c>
      <c r="C188">
        <f>LOG10(1.140041)</f>
        <v>5.6920470418550494E-2</v>
      </c>
      <c r="D188">
        <f>LOG10(3.904728)</f>
        <v>0.59159078668621723</v>
      </c>
    </row>
    <row r="189" spans="1:4">
      <c r="A189">
        <v>1.1283190000000001</v>
      </c>
      <c r="B189">
        <v>4.0289580000000003</v>
      </c>
      <c r="C189">
        <f>LOG10(1.128319)</f>
        <v>5.2431901379392611E-2</v>
      </c>
      <c r="D189">
        <f>LOG10(4.028958)</f>
        <v>0.60519274009542345</v>
      </c>
    </row>
    <row r="190" spans="1:4">
      <c r="A190">
        <v>1.1363110000000001</v>
      </c>
      <c r="B190">
        <v>3.882857</v>
      </c>
      <c r="C190">
        <f>LOG10(1.136311)</f>
        <v>5.5497210863516645E-2</v>
      </c>
      <c r="D190">
        <f>LOG10(3.882857)</f>
        <v>0.58915139640376057</v>
      </c>
    </row>
    <row r="191" spans="1:4">
      <c r="A191">
        <v>1.1253359999999999</v>
      </c>
      <c r="B191">
        <v>4.1543729999999996</v>
      </c>
      <c r="C191">
        <f>LOG10(1.125336)</f>
        <v>5.128221236657899E-2</v>
      </c>
      <c r="D191">
        <f>LOG10(4.154373)</f>
        <v>0.61850548704003383</v>
      </c>
    </row>
    <row r="192" spans="1:4">
      <c r="A192">
        <v>1.1456040000000001</v>
      </c>
      <c r="B192">
        <v>4.100835</v>
      </c>
      <c r="C192">
        <f>LOG10(1.145604)</f>
        <v>5.9034521352480468E-2</v>
      </c>
      <c r="D192">
        <f>LOG10(4.100835)</f>
        <v>0.61287229549301714</v>
      </c>
    </row>
    <row r="193" spans="1:4">
      <c r="A193">
        <v>1.110571</v>
      </c>
      <c r="B193">
        <v>4.0939030000000001</v>
      </c>
      <c r="C193">
        <f>LOG10(1.110571)</f>
        <v>4.5546328685969278E-2</v>
      </c>
      <c r="D193">
        <f>LOG10(4.093903)</f>
        <v>0.61213754837440837</v>
      </c>
    </row>
    <row r="194" spans="1:4">
      <c r="A194">
        <v>1.1317120000000001</v>
      </c>
      <c r="B194">
        <v>4.0660879999999997</v>
      </c>
      <c r="C194">
        <f>LOG10(1.131712)</f>
        <v>5.373592091204208E-2</v>
      </c>
      <c r="D194">
        <f>LOG10(4.066088)</f>
        <v>0.6091767735889948</v>
      </c>
    </row>
    <row r="195" spans="1:4">
      <c r="A195">
        <v>1.131062</v>
      </c>
      <c r="B195">
        <v>4.0602029999999996</v>
      </c>
      <c r="C195">
        <f>LOG10(1.131062)</f>
        <v>5.3486411751160999E-2</v>
      </c>
      <c r="D195">
        <f>LOG10(4.060203)</f>
        <v>0.60854774775843923</v>
      </c>
    </row>
    <row r="196" spans="1:4">
      <c r="A196">
        <v>1.149724</v>
      </c>
      <c r="B196">
        <v>3.8830770000000001</v>
      </c>
      <c r="C196">
        <f>LOG10(1.149724)</f>
        <v>6.0593597168272222E-2</v>
      </c>
      <c r="D196">
        <f>LOG10(3.883077)</f>
        <v>0.58917600253253899</v>
      </c>
    </row>
    <row r="197" spans="1:4">
      <c r="A197">
        <v>1.115461</v>
      </c>
      <c r="B197">
        <v>3.8865449999999999</v>
      </c>
      <c r="C197">
        <f>LOG10(1.115461)</f>
        <v>4.7454390593962816E-2</v>
      </c>
      <c r="D197">
        <f>LOG10(3.886545)</f>
        <v>0.58956370050890483</v>
      </c>
    </row>
    <row r="198" spans="1:4">
      <c r="A198">
        <v>1.122844</v>
      </c>
      <c r="B198">
        <v>3.5859570000000001</v>
      </c>
      <c r="C198">
        <f>LOG10(1.122844)</f>
        <v>5.0319422650320154E-2</v>
      </c>
      <c r="D198">
        <f>LOG10(3.585957)</f>
        <v>0.55460507753662491</v>
      </c>
    </row>
    <row r="199" spans="1:4">
      <c r="A199">
        <v>1.095612</v>
      </c>
      <c r="B199">
        <v>3.5769359999999999</v>
      </c>
      <c r="C199">
        <f>LOG10(1.095612)</f>
        <v>3.9656780340998572E-2</v>
      </c>
      <c r="D199">
        <f>LOG10(3.576936)</f>
        <v>0.55351116964421732</v>
      </c>
    </row>
    <row r="200" spans="1:4">
      <c r="A200">
        <v>1.0868739999999999</v>
      </c>
      <c r="B200">
        <v>3.8289849999999999</v>
      </c>
      <c r="C200">
        <f>LOG10(1.086874)</f>
        <v>3.6179199765711899E-2</v>
      </c>
      <c r="D200">
        <f>LOG10(3.828985)</f>
        <v>0.5830836650079152</v>
      </c>
    </row>
    <row r="201" spans="1:4">
      <c r="A201">
        <v>1.0629649999999999</v>
      </c>
      <c r="B201">
        <v>4.157985</v>
      </c>
      <c r="C201">
        <f>LOG10(1.062965)</f>
        <v>2.6518964845862733E-2</v>
      </c>
      <c r="D201">
        <f>LOG10(4.157985)</f>
        <v>0.61888291827371422</v>
      </c>
    </row>
    <row r="202" spans="1:4">
      <c r="A202">
        <v>1.04026</v>
      </c>
      <c r="B202">
        <v>4.0467820000000003</v>
      </c>
      <c r="C202">
        <f>LOG10(1.04026)</f>
        <v>1.714189934981512E-2</v>
      </c>
      <c r="D202">
        <f>LOG10(4.046782)</f>
        <v>0.60710980959366434</v>
      </c>
    </row>
    <row r="203" spans="1:4">
      <c r="A203">
        <v>1.0479499999999999</v>
      </c>
      <c r="B203">
        <v>4.1566299999999998</v>
      </c>
      <c r="C203">
        <f>LOG10(1.04795)</f>
        <v>2.0340561996834202E-2</v>
      </c>
      <c r="D203">
        <f>LOG10(4.15663)</f>
        <v>0.6187413677561765</v>
      </c>
    </row>
    <row r="204" spans="1:4">
      <c r="A204">
        <v>1.0577490000000001</v>
      </c>
      <c r="B204">
        <v>4.06684</v>
      </c>
      <c r="C204">
        <f>LOG10(1.057749)</f>
        <v>2.4382623419841674E-2</v>
      </c>
      <c r="D204">
        <f>LOG10(4.06684)</f>
        <v>0.60925708647294552</v>
      </c>
    </row>
    <row r="205" spans="1:4">
      <c r="A205">
        <v>1.0541259999999999</v>
      </c>
      <c r="B205">
        <v>4.1398859999999997</v>
      </c>
      <c r="C205">
        <f>LOG10(1.054126)</f>
        <v>2.289252533020365E-2</v>
      </c>
      <c r="D205">
        <f>LOG10(4.139886)</f>
        <v>0.61698838212268559</v>
      </c>
    </row>
    <row r="206" spans="1:4">
      <c r="A206">
        <v>1.0412729999999999</v>
      </c>
      <c r="B206">
        <v>4.272043</v>
      </c>
      <c r="C206">
        <f>LOG10(1.041273)</f>
        <v>1.7564607368279941E-2</v>
      </c>
      <c r="D206">
        <f>LOG10(4.272043)</f>
        <v>0.63063561540831303</v>
      </c>
    </row>
    <row r="207" spans="1:4">
      <c r="A207">
        <v>1.0549519999999999</v>
      </c>
      <c r="B207">
        <v>4.5196779999999999</v>
      </c>
      <c r="C207">
        <f>LOG10(1.054952)</f>
        <v>2.3232699814402784E-2</v>
      </c>
      <c r="D207">
        <f>LOG10(4.519678)</f>
        <v>0.65510749503161736</v>
      </c>
    </row>
    <row r="208" spans="1:4">
      <c r="A208">
        <v>1.0782940000000001</v>
      </c>
      <c r="B208">
        <v>4.3343499999999997</v>
      </c>
      <c r="C208">
        <f>LOG10(1.078294)</f>
        <v>3.2737188651818259E-2</v>
      </c>
      <c r="D208">
        <f>LOG10(4.33435)</f>
        <v>0.63692397780321663</v>
      </c>
    </row>
    <row r="209" spans="1:4">
      <c r="A209">
        <v>1.0589770000000001</v>
      </c>
      <c r="B209">
        <v>4.2530809999999999</v>
      </c>
      <c r="C209">
        <f>LOG10(1.058977)</f>
        <v>2.4886527735854772E-2</v>
      </c>
      <c r="D209">
        <f>LOG10(4.253081)</f>
        <v>0.62870365393858252</v>
      </c>
    </row>
    <row r="210" spans="1:4">
      <c r="A210">
        <v>1.043382</v>
      </c>
      <c r="B210">
        <v>4.2916319999999999</v>
      </c>
      <c r="C210">
        <f>LOG10(1.043382)</f>
        <v>1.8443340180007334E-2</v>
      </c>
      <c r="D210">
        <f>LOG10(4.291632)</f>
        <v>0.63262247489193202</v>
      </c>
    </row>
    <row r="211" spans="1:4">
      <c r="A211">
        <v>1.0571649999999999</v>
      </c>
      <c r="B211">
        <v>4.3811720000000003</v>
      </c>
      <c r="C211">
        <f>LOG10(1.057165)</f>
        <v>2.4142776330193638E-2</v>
      </c>
      <c r="D211">
        <f>LOG10(4.381172)</f>
        <v>0.64159030343715162</v>
      </c>
    </row>
    <row r="212" spans="1:4">
      <c r="A212">
        <v>1.0576989999999999</v>
      </c>
      <c r="B212">
        <v>4.2533979999999998</v>
      </c>
      <c r="C212">
        <f>LOG10(1.057699)</f>
        <v>2.4362093750382296E-2</v>
      </c>
      <c r="D212">
        <f>LOG10(4.253398)</f>
        <v>0.62873602252512162</v>
      </c>
    </row>
    <row r="213" spans="1:4">
      <c r="A213">
        <v>1.039596</v>
      </c>
      <c r="B213">
        <v>4.2248270000000003</v>
      </c>
      <c r="C213">
        <f>LOG10(1.039596)</f>
        <v>1.6864599819673674E-2</v>
      </c>
      <c r="D213">
        <f>LOG10(4.224827)</f>
        <v>0.62580892997597481</v>
      </c>
    </row>
    <row r="214" spans="1:4">
      <c r="A214">
        <v>1.0471159999999999</v>
      </c>
      <c r="B214">
        <v>4.3566919999999998</v>
      </c>
      <c r="C214">
        <f>LOG10(1.047116)</f>
        <v>1.9994795689672943E-2</v>
      </c>
      <c r="D214">
        <f>LOG10(4.356692)</f>
        <v>0.63915685820783374</v>
      </c>
    </row>
    <row r="215" spans="1:4">
      <c r="A215">
        <v>1.0530109999999999</v>
      </c>
      <c r="B215">
        <v>4.2457349999999998</v>
      </c>
      <c r="C215">
        <f>LOG10(1.053011)</f>
        <v>2.2432907951249796E-2</v>
      </c>
      <c r="D215">
        <f>LOG10(4.245735)</f>
        <v>0.62795288393519133</v>
      </c>
    </row>
    <row r="216" spans="1:4">
      <c r="A216">
        <v>1.0737190000000001</v>
      </c>
      <c r="B216">
        <v>4.0298699999999998</v>
      </c>
      <c r="C216">
        <f>LOG10(1.073719)</f>
        <v>3.0890638237866148E-2</v>
      </c>
      <c r="D216">
        <f>LOG10(4.02987)</f>
        <v>0.60529103641572868</v>
      </c>
    </row>
    <row r="217" spans="1:4">
      <c r="A217">
        <v>1.060327</v>
      </c>
      <c r="B217">
        <v>4.0630179999999996</v>
      </c>
      <c r="C217">
        <f>LOG10(1.060327)</f>
        <v>2.5439820354441103E-2</v>
      </c>
      <c r="D217">
        <f>LOG10(4.063018)</f>
        <v>0.60884874634397446</v>
      </c>
    </row>
    <row r="218" spans="1:4">
      <c r="A218">
        <v>1.1002970000000001</v>
      </c>
      <c r="B218">
        <v>4.0238639999999997</v>
      </c>
      <c r="C218">
        <f>LOG10(1.100297)</f>
        <v>4.1509928841153912E-2</v>
      </c>
      <c r="D218">
        <f>LOG10(4.023864)</f>
        <v>0.60464329385511206</v>
      </c>
    </row>
    <row r="219" spans="1:4">
      <c r="A219">
        <v>1.0879430000000001</v>
      </c>
      <c r="B219">
        <v>3.999012</v>
      </c>
      <c r="C219">
        <f>LOG10(1.087943)</f>
        <v>3.660614220596712E-2</v>
      </c>
      <c r="D219">
        <f>LOG10(3.999012)</f>
        <v>0.60195270734081441</v>
      </c>
    </row>
    <row r="220" spans="1:4">
      <c r="A220">
        <v>1.0631029999999999</v>
      </c>
      <c r="B220">
        <v>4.0772380000000004</v>
      </c>
      <c r="C220">
        <f>LOG10(1.063103)</f>
        <v>2.6575343699772207E-2</v>
      </c>
      <c r="D220">
        <f>LOG10(4.077238)</f>
        <v>0.61036606319850573</v>
      </c>
    </row>
    <row r="221" spans="1:4">
      <c r="A221">
        <v>1.0800529999999999</v>
      </c>
      <c r="B221">
        <v>4.57897</v>
      </c>
      <c r="C221">
        <f>LOG10(1.080053)</f>
        <v>3.3445067563593618E-2</v>
      </c>
      <c r="D221">
        <f>LOG10(4.57897)</f>
        <v>0.66076779817344156</v>
      </c>
    </row>
    <row r="222" spans="1:4">
      <c r="A222">
        <v>1.0696289999999999</v>
      </c>
      <c r="B222">
        <v>4.3642240000000001</v>
      </c>
      <c r="C222">
        <f>LOG10(1.069629)</f>
        <v>2.9233169094280195E-2</v>
      </c>
      <c r="D222">
        <f>LOG10(4.364224)</f>
        <v>0.63990703326995602</v>
      </c>
    </row>
    <row r="223" spans="1:4">
      <c r="A223">
        <v>1.092484</v>
      </c>
      <c r="B223">
        <v>4.4175959999999996</v>
      </c>
      <c r="C223">
        <f>LOG10(1.092484)</f>
        <v>3.8415085219032488E-2</v>
      </c>
      <c r="D223">
        <f>LOG10(4.417596)</f>
        <v>0.64518599605480531</v>
      </c>
    </row>
    <row r="224" spans="1:4">
      <c r="A224">
        <v>1.0745530000000001</v>
      </c>
      <c r="B224">
        <v>4.5212979999999998</v>
      </c>
      <c r="C224">
        <f>LOG10(1.074553)</f>
        <v>3.1227840990686647E-2</v>
      </c>
      <c r="D224">
        <f>LOG10(4.521298)</f>
        <v>0.65526313244691703</v>
      </c>
    </row>
    <row r="225" spans="1:4">
      <c r="A225">
        <v>1.0855509999999999</v>
      </c>
      <c r="B225">
        <v>4.5086729999999999</v>
      </c>
      <c r="C225">
        <f>LOG10(1.085551)</f>
        <v>3.565023175016261E-2</v>
      </c>
      <c r="D225">
        <f>LOG10(4.508673)</f>
        <v>0.65404873842358435</v>
      </c>
    </row>
    <row r="226" spans="1:4">
      <c r="A226">
        <v>1.0938479999999999</v>
      </c>
      <c r="B226">
        <v>4.4457300000000002</v>
      </c>
      <c r="C226">
        <f>LOG10(1.093848)</f>
        <v>3.8956977072759497E-2</v>
      </c>
      <c r="D226">
        <f>LOG10(4.44573)</f>
        <v>0.64794308340328455</v>
      </c>
    </row>
    <row r="227" spans="1:4">
      <c r="A227">
        <v>1.0633969999999999</v>
      </c>
      <c r="B227">
        <v>4.5847860000000003</v>
      </c>
      <c r="C227">
        <f>LOG10(1.063397)</f>
        <v>2.669543077100954E-2</v>
      </c>
      <c r="D227">
        <f>LOG10(4.584786)</f>
        <v>0.66131906929980011</v>
      </c>
    </row>
    <row r="228" spans="1:4">
      <c r="A228">
        <v>1.099059</v>
      </c>
      <c r="B228">
        <v>4.4706330000000003</v>
      </c>
      <c r="C228">
        <f>LOG10(1.099059)</f>
        <v>4.1021006970041365E-2</v>
      </c>
      <c r="D228">
        <f>LOG10(4.470633)</f>
        <v>0.65036901953996584</v>
      </c>
    </row>
    <row r="229" spans="1:4">
      <c r="A229">
        <v>1.10676</v>
      </c>
      <c r="B229">
        <v>4.5431049999999997</v>
      </c>
      <c r="C229">
        <f>LOG10(1.10676)</f>
        <v>4.4053454685399999E-2</v>
      </c>
      <c r="D229">
        <f>LOG10(4.543105)</f>
        <v>0.65735277432147898</v>
      </c>
    </row>
    <row r="230" spans="1:4">
      <c r="A230">
        <v>1.0779669999999999</v>
      </c>
      <c r="B230">
        <v>4.4869269999999997</v>
      </c>
      <c r="C230">
        <f>LOG10(1.077967)</f>
        <v>3.2605465918187096E-2</v>
      </c>
      <c r="D230">
        <f>LOG10(4.486927)</f>
        <v>0.65194900384217225</v>
      </c>
    </row>
    <row r="231" spans="1:4">
      <c r="A231">
        <v>1.0981650000000001</v>
      </c>
      <c r="B231">
        <v>4.5010760000000003</v>
      </c>
      <c r="C231">
        <f>LOG10(1.098165)</f>
        <v>4.0667598042916239E-2</v>
      </c>
      <c r="D231">
        <f>LOG10(4.501076)</f>
        <v>0.65331634599823663</v>
      </c>
    </row>
    <row r="232" spans="1:4">
      <c r="A232">
        <v>1.0163489999999999</v>
      </c>
      <c r="B232">
        <v>4.2317710000000002</v>
      </c>
      <c r="C232">
        <f>LOG10(1.016349)</f>
        <v>7.0428641958421787E-3</v>
      </c>
      <c r="D232">
        <f>LOG10(4.231771)</f>
        <v>0.62652215805188316</v>
      </c>
    </row>
    <row r="233" spans="1:4">
      <c r="A233">
        <v>1.0205</v>
      </c>
      <c r="B233">
        <v>4.2607799999999996</v>
      </c>
      <c r="C233">
        <f>LOG10(1.0205)</f>
        <v>8.8130090520892948E-3</v>
      </c>
      <c r="D233">
        <f>LOG10(4.26078)</f>
        <v>0.62948911053167977</v>
      </c>
    </row>
    <row r="234" spans="1:4">
      <c r="A234">
        <v>1.0156000000000001</v>
      </c>
      <c r="B234">
        <v>4.1347719999999999</v>
      </c>
      <c r="C234">
        <f>LOG10(1.0156)</f>
        <v>6.7226922016846409E-3</v>
      </c>
      <c r="D234">
        <f>LOG10(4.134772)</f>
        <v>0.6164515666402256</v>
      </c>
    </row>
    <row r="235" spans="1:4">
      <c r="A235">
        <v>1.0149269999999999</v>
      </c>
      <c r="B235">
        <v>4.1069240000000002</v>
      </c>
      <c r="C235">
        <f>LOG10(1.014927)</f>
        <v>6.4348061533596622E-3</v>
      </c>
      <c r="D235">
        <f>LOG10(4.106924)</f>
        <v>0.61351666616360623</v>
      </c>
    </row>
    <row r="236" spans="1:4">
      <c r="A236">
        <v>1.0174859999999999</v>
      </c>
      <c r="B236">
        <v>4.2183729999999997</v>
      </c>
      <c r="C236">
        <f>LOG10(1.017486)</f>
        <v>7.52844230553683E-3</v>
      </c>
      <c r="D236">
        <f>LOG10(4.218373)</f>
        <v>0.62514497859921425</v>
      </c>
    </row>
    <row r="237" spans="1:4">
      <c r="A237">
        <v>1.445093</v>
      </c>
      <c r="B237">
        <v>4.5027790000000003</v>
      </c>
      <c r="C237">
        <f>LOG10(1.445093)</f>
        <v>0.15989579732588505</v>
      </c>
      <c r="D237">
        <f>LOG10(4.502779)</f>
        <v>0.65348063196496986</v>
      </c>
    </row>
    <row r="238" spans="1:4">
      <c r="A238">
        <v>1.0146569999999999</v>
      </c>
      <c r="B238">
        <v>4.2932600000000001</v>
      </c>
      <c r="C238">
        <f>LOG10(1.014657)</f>
        <v>6.3192558624570825E-3</v>
      </c>
      <c r="D238">
        <f>LOG10(4.29326)</f>
        <v>0.63278719016732843</v>
      </c>
    </row>
    <row r="239" spans="1:4">
      <c r="A239">
        <v>1.0125710000000001</v>
      </c>
      <c r="B239">
        <v>4.4065240000000001</v>
      </c>
      <c r="C239">
        <f>LOG10(1.012571)</f>
        <v>5.4254850493141047E-3</v>
      </c>
      <c r="D239">
        <f>LOG10(4.406524)</f>
        <v>0.64409613983637071</v>
      </c>
    </row>
    <row r="240" spans="1:4">
      <c r="A240">
        <v>1.0165329999999999</v>
      </c>
      <c r="B240">
        <v>4.3278980000000002</v>
      </c>
      <c r="C240">
        <f>LOG10(1.016533)</f>
        <v>7.1214818282363864E-3</v>
      </c>
      <c r="D240">
        <f>LOG10(4.327898)</f>
        <v>0.63627701675674808</v>
      </c>
    </row>
    <row r="241" spans="1:4">
      <c r="A241">
        <v>1.011789</v>
      </c>
      <c r="B241">
        <v>4.3629350000000002</v>
      </c>
      <c r="C241">
        <f>LOG10(1.011789)</f>
        <v>5.0899535215804892E-3</v>
      </c>
      <c r="D241">
        <f>LOG10(4.362935)</f>
        <v>0.63977874281684433</v>
      </c>
    </row>
    <row r="242" spans="1:4">
      <c r="A242">
        <v>1.02444</v>
      </c>
      <c r="B242">
        <v>4.2148070000000004</v>
      </c>
      <c r="C242">
        <f>LOG10(1.02444)</f>
        <v>1.0486527469298068E-2</v>
      </c>
      <c r="D242">
        <f>LOG10(4.214807)</f>
        <v>0.62477769266086791</v>
      </c>
    </row>
    <row r="243" spans="1:4">
      <c r="A243">
        <v>1.0109410000000001</v>
      </c>
      <c r="B243">
        <v>4.1579040000000003</v>
      </c>
      <c r="C243">
        <f>LOG10(1.010941)</f>
        <v>4.7258102674337336E-3</v>
      </c>
      <c r="D243">
        <f>LOG10(4.157904)</f>
        <v>0.61887445787867168</v>
      </c>
    </row>
    <row r="244" spans="1:4">
      <c r="A244">
        <v>1.0143450000000001</v>
      </c>
      <c r="B244">
        <v>3.980979</v>
      </c>
      <c r="C244">
        <f>LOG10(1.014345)</f>
        <v>6.1856927812755612E-3</v>
      </c>
      <c r="D244">
        <f>LOG10(3.980979)</f>
        <v>0.59998988665011788</v>
      </c>
    </row>
    <row r="245" spans="1:4">
      <c r="A245">
        <v>1.013611</v>
      </c>
      <c r="B245">
        <v>3.9539110000000002</v>
      </c>
      <c r="C245">
        <f>LOG10(1.013611)</f>
        <v>5.8713149903995947E-3</v>
      </c>
      <c r="D245">
        <f>LOG10(3.953911)</f>
        <v>0.5970268893975057</v>
      </c>
    </row>
    <row r="246" spans="1:4">
      <c r="A246">
        <v>1.013649</v>
      </c>
      <c r="B246">
        <v>3.6943630000000001</v>
      </c>
      <c r="C246">
        <f>LOG10(1.013649)</f>
        <v>5.8875962669149391E-3</v>
      </c>
      <c r="D246">
        <f>LOG10(3.694363)</f>
        <v>0.56753956602343214</v>
      </c>
    </row>
    <row r="247" spans="1:4">
      <c r="A247">
        <v>1.010399</v>
      </c>
      <c r="B247">
        <v>3.6871809999999998</v>
      </c>
      <c r="C247">
        <f>LOG10(1.010399)</f>
        <v>4.4929077227525618E-3</v>
      </c>
      <c r="D247">
        <f>LOG10(3.687181)</f>
        <v>0.56669445720791101</v>
      </c>
    </row>
    <row r="248" spans="1:4">
      <c r="A248">
        <v>1.015709</v>
      </c>
      <c r="B248">
        <v>3.9674100000000001</v>
      </c>
      <c r="C248">
        <f>LOG10(1.015709)</f>
        <v>6.7693006680212275E-3</v>
      </c>
      <c r="D248">
        <f>LOG10(3.96741)</f>
        <v>0.59850708364447791</v>
      </c>
    </row>
    <row r="249" spans="1:4">
      <c r="A249">
        <v>1.061221</v>
      </c>
      <c r="B249">
        <v>4.2218390000000001</v>
      </c>
      <c r="C249">
        <f>LOG10(1.061221)</f>
        <v>2.5805835443237151E-2</v>
      </c>
      <c r="D249">
        <f>LOG10(4.221839)</f>
        <v>0.62550166744989499</v>
      </c>
    </row>
    <row r="250" spans="1:4">
      <c r="A250">
        <v>1.0361370000000001</v>
      </c>
      <c r="B250">
        <v>4.1468949999999998</v>
      </c>
      <c r="C250">
        <f>LOG10(1.036137)</f>
        <v>1.5417182446236844E-2</v>
      </c>
      <c r="D250">
        <f>LOG10(4.146895)</f>
        <v>0.61772303910216453</v>
      </c>
    </row>
    <row r="251" spans="1:4">
      <c r="A251">
        <v>1.0332269999999999</v>
      </c>
      <c r="B251">
        <v>4.179926</v>
      </c>
      <c r="C251">
        <f>LOG10(1.033227)</f>
        <v>1.4195746511926479E-2</v>
      </c>
      <c r="D251">
        <f>LOG10(4.179926)</f>
        <v>0.62116859324007412</v>
      </c>
    </row>
    <row r="252" spans="1:4">
      <c r="A252">
        <v>1.032154</v>
      </c>
      <c r="B252">
        <v>4.066948</v>
      </c>
      <c r="C252">
        <f>LOG10(1.032154)</f>
        <v>1.374449996612591E-2</v>
      </c>
      <c r="D252">
        <f>LOG10(4.066948)</f>
        <v>0.60926861955053457</v>
      </c>
    </row>
    <row r="253" spans="1:4">
      <c r="A253">
        <v>1.021298</v>
      </c>
      <c r="B253">
        <v>4.2304620000000002</v>
      </c>
      <c r="C253">
        <f>LOG10(1.021298)</f>
        <v>9.152481433005356E-3</v>
      </c>
      <c r="D253">
        <f>LOG10(4.230462)</f>
        <v>0.62638779836659786</v>
      </c>
    </row>
    <row r="254" spans="1:4">
      <c r="A254">
        <v>1.022464</v>
      </c>
      <c r="B254">
        <v>4.3759100000000002</v>
      </c>
      <c r="C254">
        <f>LOG10(1.022464)</f>
        <v>9.6480258465333427E-3</v>
      </c>
      <c r="D254">
        <f>LOG10(4.37591)</f>
        <v>0.64106838121721221</v>
      </c>
    </row>
    <row r="255" spans="1:4">
      <c r="A255">
        <v>1.01962</v>
      </c>
      <c r="B255">
        <v>4.4932540000000003</v>
      </c>
      <c r="C255">
        <f>LOG10(1.01962)</f>
        <v>8.4383456325084275E-3</v>
      </c>
      <c r="D255">
        <f>LOG10(4.493254)</f>
        <v>0.65256096960136167</v>
      </c>
    </row>
    <row r="256" spans="1:4">
      <c r="A256">
        <v>1.0159320000000001</v>
      </c>
      <c r="B256">
        <v>4.333132</v>
      </c>
      <c r="C256">
        <f>LOG10(1.015932)</f>
        <v>6.864640021630849E-3</v>
      </c>
      <c r="D256">
        <f>LOG10(4.333132)</f>
        <v>0.63680191912863504</v>
      </c>
    </row>
    <row r="257" spans="1:4">
      <c r="A257">
        <v>1.017541</v>
      </c>
      <c r="B257">
        <v>4.3168420000000003</v>
      </c>
      <c r="C257">
        <f>LOG10(1.017541)</f>
        <v>7.55191737147999E-3</v>
      </c>
      <c r="D257">
        <f>LOG10(4.316842)</f>
        <v>0.63516615340867144</v>
      </c>
    </row>
    <row r="258" spans="1:4">
      <c r="A258">
        <v>1.0202789999999999</v>
      </c>
      <c r="B258">
        <v>4.3088600000000001</v>
      </c>
      <c r="C258">
        <f>LOG10(1.020279)</f>
        <v>8.7189478324512862E-3</v>
      </c>
      <c r="D258">
        <f>LOG10(4.30886)</f>
        <v>0.6343623835719584</v>
      </c>
    </row>
    <row r="259" spans="1:4">
      <c r="A259">
        <v>1.0340279999999999</v>
      </c>
      <c r="B259">
        <v>4.3787079999999996</v>
      </c>
      <c r="C259">
        <f>LOG10(1.034028)</f>
        <v>1.4532298990854793E-2</v>
      </c>
      <c r="D259">
        <f>LOG10(4.378708)</f>
        <v>0.64134598464930703</v>
      </c>
    </row>
    <row r="260" spans="1:4">
      <c r="A260">
        <v>1.0208079999999999</v>
      </c>
      <c r="B260">
        <v>4.2407550000000001</v>
      </c>
      <c r="C260">
        <f>LOG10(1.020808)</f>
        <v>8.9440649255207085E-3</v>
      </c>
      <c r="D260">
        <f>LOG10(4.240755)</f>
        <v>0.62744318280595379</v>
      </c>
    </row>
    <row r="261" spans="1:4">
      <c r="A261">
        <v>1.015455</v>
      </c>
      <c r="B261">
        <v>4.3882440000000003</v>
      </c>
      <c r="C261">
        <f>LOG10(1.015455)</f>
        <v>6.6606823595257792E-3</v>
      </c>
      <c r="D261">
        <f>LOG10(4.388244)</f>
        <v>0.64229076769653382</v>
      </c>
    </row>
    <row r="262" spans="1:4">
      <c r="A262">
        <v>1.0175700000000001</v>
      </c>
      <c r="B262">
        <v>4.4817049999999998</v>
      </c>
      <c r="C262">
        <f>LOG10(1.01757)</f>
        <v>7.564294622623609E-3</v>
      </c>
      <c r="D262">
        <f>LOG10(4.481705)</f>
        <v>0.65144326650323747</v>
      </c>
    </row>
    <row r="263" spans="1:4">
      <c r="A263">
        <v>1.023385</v>
      </c>
      <c r="B263">
        <v>4.2960479999999999</v>
      </c>
      <c r="C263">
        <f>LOG10(1.023385)</f>
        <v>1.0039047124109024E-2</v>
      </c>
      <c r="D263">
        <f>LOG10(4.296048)</f>
        <v>0.63306912511670244</v>
      </c>
    </row>
    <row r="264" spans="1:4">
      <c r="A264">
        <v>1.0242290000000001</v>
      </c>
      <c r="B264">
        <v>4.0751210000000002</v>
      </c>
      <c r="C264">
        <f>LOG10(1.024229)</f>
        <v>1.0397068277983526E-2</v>
      </c>
      <c r="D264">
        <f>LOG10(4.075121)</f>
        <v>0.6101405084998337</v>
      </c>
    </row>
    <row r="265" spans="1:4">
      <c r="A265">
        <v>1.011107</v>
      </c>
      <c r="B265">
        <v>4.074103</v>
      </c>
      <c r="C265">
        <f>LOG10(1.011107)</f>
        <v>4.7971170654502494E-3</v>
      </c>
      <c r="D265">
        <f>LOG10(4.074103)</f>
        <v>0.61003200447911288</v>
      </c>
    </row>
    <row r="266" spans="1:4">
      <c r="A266">
        <v>1.015458</v>
      </c>
      <c r="B266">
        <v>4.1258210000000002</v>
      </c>
      <c r="C266">
        <f>LOG10(1.015458)</f>
        <v>6.6619654114789652E-3</v>
      </c>
      <c r="D266">
        <f>LOG10(4.125821)</f>
        <v>0.6155103820475557</v>
      </c>
    </row>
    <row r="267" spans="1:4">
      <c r="A267">
        <v>1.0117160000000001</v>
      </c>
      <c r="B267">
        <v>4.0439179999999997</v>
      </c>
      <c r="C267">
        <f>LOG10(1.011716)</f>
        <v>5.0586182916772405E-3</v>
      </c>
      <c r="D267">
        <f>LOG10(4.043918)</f>
        <v>0.6068023406606613</v>
      </c>
    </row>
    <row r="268" spans="1:4">
      <c r="A268">
        <v>1.0113190000000001</v>
      </c>
      <c r="B268">
        <v>4.2346009999999996</v>
      </c>
      <c r="C268">
        <f>LOG10(1.011319)</f>
        <v>4.8881665579911509E-3</v>
      </c>
      <c r="D268">
        <f>LOG10(4.234601)</f>
        <v>0.6268124957383352</v>
      </c>
    </row>
    <row r="269" spans="1:4">
      <c r="A269">
        <v>1.0119590000000001</v>
      </c>
      <c r="B269">
        <v>4.6576930000000001</v>
      </c>
      <c r="C269">
        <f>LOG10(1.011959)</f>
        <v>5.1629172128080658E-3</v>
      </c>
      <c r="D269">
        <f>LOG10(4.657693)</f>
        <v>0.66817085972467105</v>
      </c>
    </row>
    <row r="270" spans="1:4">
      <c r="A270">
        <v>1.0128410000000001</v>
      </c>
      <c r="B270">
        <v>4.5505370000000003</v>
      </c>
      <c r="C270">
        <f>LOG10(1.012841)</f>
        <v>5.5412733539241922E-3</v>
      </c>
      <c r="D270">
        <f>LOG10(4.550537)</f>
        <v>0.65806264992646402</v>
      </c>
    </row>
    <row r="271" spans="1:4">
      <c r="A271">
        <v>1.012937</v>
      </c>
      <c r="B271">
        <v>4.6600349999999997</v>
      </c>
      <c r="C271">
        <f>LOG10(1.012937)</f>
        <v>5.5824350905941209E-3</v>
      </c>
      <c r="D271">
        <f>LOG10(4.660035)</f>
        <v>0.66838917854617697</v>
      </c>
    </row>
    <row r="272" spans="1:4">
      <c r="A272">
        <v>1.0108490000000001</v>
      </c>
      <c r="B272">
        <v>4.7539790000000002</v>
      </c>
      <c r="C272">
        <f>LOG10(1.010849)</f>
        <v>4.6862857942068714E-3</v>
      </c>
      <c r="D272">
        <f>LOG10(4.753979)</f>
        <v>0.6770572589646765</v>
      </c>
    </row>
    <row r="273" spans="1:4">
      <c r="A273">
        <v>1.0114810000000001</v>
      </c>
      <c r="B273">
        <v>4.7887519999999997</v>
      </c>
      <c r="C273">
        <f>LOG10(1.011481)</f>
        <v>4.9577292495263927E-3</v>
      </c>
      <c r="D273">
        <f>LOG10(4.788752)</f>
        <v>0.68022234637224244</v>
      </c>
    </row>
    <row r="274" spans="1:4">
      <c r="A274">
        <v>1.012276</v>
      </c>
      <c r="B274">
        <v>4.7001650000000001</v>
      </c>
      <c r="C274">
        <f>LOG10(1.012276)</f>
        <v>5.29894030487862E-3</v>
      </c>
      <c r="D274">
        <f>LOG10(4.700165)</f>
        <v>0.67211310417650605</v>
      </c>
    </row>
    <row r="275" spans="1:4">
      <c r="A275">
        <v>1.0095499999999999</v>
      </c>
      <c r="B275">
        <v>4.8407929999999997</v>
      </c>
      <c r="C275">
        <f>LOG10(1.00955)</f>
        <v>4.1278331225045543E-3</v>
      </c>
      <c r="D275">
        <f>LOG10(4.840793)</f>
        <v>0.68491651191586633</v>
      </c>
    </row>
    <row r="276" spans="1:4">
      <c r="A276">
        <v>1.0140690000000001</v>
      </c>
      <c r="B276">
        <v>4.863334</v>
      </c>
      <c r="C276">
        <f>LOG10(1.014069)</f>
        <v>6.0675065749636256E-3</v>
      </c>
      <c r="D276">
        <f>LOG10(4.863334)</f>
        <v>0.68693409670695604</v>
      </c>
    </row>
    <row r="277" spans="1:4">
      <c r="A277">
        <v>1.0134099999999999</v>
      </c>
      <c r="B277">
        <v>4.8403429999999998</v>
      </c>
      <c r="C277">
        <f>LOG10(1.01341)</f>
        <v>5.7851854523743688E-3</v>
      </c>
      <c r="D277">
        <f>LOG10(4.840343)</f>
        <v>0.6848761380347439</v>
      </c>
    </row>
    <row r="278" spans="1:4">
      <c r="A278">
        <v>1.010173</v>
      </c>
      <c r="B278">
        <v>4.8382250000000004</v>
      </c>
      <c r="C278">
        <f>LOG10(1.010173)</f>
        <v>4.3957564672472303E-3</v>
      </c>
      <c r="D278">
        <f>LOG10(4.838225)</f>
        <v>0.68468606121194242</v>
      </c>
    </row>
    <row r="279" spans="1:4">
      <c r="A279">
        <v>1.0829390000000001</v>
      </c>
      <c r="B279">
        <v>4.8503780000000001</v>
      </c>
      <c r="C279">
        <f>LOG10(1.082939)</f>
        <v>3.4603994289674658E-2</v>
      </c>
      <c r="D279">
        <f>LOG10(4.850378)</f>
        <v>0.68577558538931516</v>
      </c>
    </row>
    <row r="280" spans="1:4">
      <c r="A280">
        <v>1.1039159999999999</v>
      </c>
      <c r="B280">
        <v>5.0852310000000003</v>
      </c>
      <c r="C280">
        <f>LOG10(1.103916)</f>
        <v>4.2936027990639856E-2</v>
      </c>
      <c r="D280">
        <f>LOG10(5.085231)</f>
        <v>0.70631068582251721</v>
      </c>
    </row>
    <row r="281" spans="1:4">
      <c r="A281">
        <v>1.0842259999999999</v>
      </c>
      <c r="B281">
        <v>4.6397529999999998</v>
      </c>
      <c r="C281">
        <f>LOG10(1.084226)</f>
        <v>3.5119817555477571E-2</v>
      </c>
      <c r="D281">
        <f>LOG10(4.639753)</f>
        <v>0.66649486124619761</v>
      </c>
    </row>
    <row r="282" spans="1:4">
      <c r="A282">
        <v>1.0632889999999999</v>
      </c>
      <c r="B282">
        <v>4.6498220000000003</v>
      </c>
      <c r="C282">
        <f>LOG10(1.063289)</f>
        <v>2.665132101142503E-2</v>
      </c>
      <c r="D282">
        <f>LOG10(4.649822)</f>
        <v>0.66743632796578056</v>
      </c>
    </row>
    <row r="283" spans="1:4">
      <c r="A283">
        <v>1.074011</v>
      </c>
      <c r="B283">
        <v>4.9287929999999998</v>
      </c>
      <c r="C283">
        <f>LOG10(1.074011)</f>
        <v>3.1008729422043951E-2</v>
      </c>
      <c r="D283">
        <f>LOG10(4.928793)</f>
        <v>0.69274057898947339</v>
      </c>
    </row>
    <row r="284" spans="1:4">
      <c r="A284">
        <v>1.0832349999999999</v>
      </c>
      <c r="B284">
        <v>5.00223</v>
      </c>
      <c r="C284">
        <f>LOG10(1.083235)</f>
        <v>3.4722683893966287E-2</v>
      </c>
      <c r="D284">
        <f>LOG10(5.00223)</f>
        <v>0.6991636564937258</v>
      </c>
    </row>
    <row r="285" spans="1:4">
      <c r="A285">
        <v>1.103375</v>
      </c>
      <c r="B285">
        <v>5.1602030000000001</v>
      </c>
      <c r="C285">
        <f>LOG10(1.103375)</f>
        <v>4.2723139595394866E-2</v>
      </c>
      <c r="D285">
        <f>LOG10(5.160203)</f>
        <v>0.71266678690738228</v>
      </c>
    </row>
    <row r="286" spans="1:4">
      <c r="A286">
        <v>1.0911470000000001</v>
      </c>
      <c r="B286">
        <v>5.1443729999999999</v>
      </c>
      <c r="C286">
        <f>LOG10(1.091147)</f>
        <v>3.788326295156616E-2</v>
      </c>
      <c r="D286">
        <f>LOG10(5.144373)</f>
        <v>0.71133245019005464</v>
      </c>
    </row>
    <row r="287" spans="1:4">
      <c r="A287">
        <v>1.0955440000000001</v>
      </c>
      <c r="B287">
        <v>5.2470330000000001</v>
      </c>
      <c r="C287">
        <f>LOG10(1.095544)</f>
        <v>3.9629824684003924E-2</v>
      </c>
      <c r="D287">
        <f>LOG10(5.247033)</f>
        <v>0.71991379560158553</v>
      </c>
    </row>
    <row r="288" spans="1:4">
      <c r="A288">
        <v>1.0808899999999999</v>
      </c>
      <c r="B288">
        <v>4.8259550000000004</v>
      </c>
      <c r="C288">
        <f>LOG10(1.08089)</f>
        <v>3.3781498926689538E-2</v>
      </c>
      <c r="D288">
        <f>LOG10(4.825955)</f>
        <v>0.68358326797831992</v>
      </c>
    </row>
    <row r="289" spans="1:4">
      <c r="A289">
        <v>1.0924959999999999</v>
      </c>
      <c r="B289">
        <v>4.6968129999999997</v>
      </c>
      <c r="C289">
        <f>LOG10(1.092496)</f>
        <v>3.8419855545335564E-2</v>
      </c>
      <c r="D289">
        <f>LOG10(4.696813)</f>
        <v>0.67180326942642277</v>
      </c>
    </row>
    <row r="290" spans="1:4">
      <c r="A290">
        <v>1.080084</v>
      </c>
      <c r="B290">
        <v>4.8785270000000001</v>
      </c>
      <c r="C290">
        <f>LOG10(1.080084)</f>
        <v>3.3457532633114649E-2</v>
      </c>
      <c r="D290">
        <f>LOG10(4.878527)</f>
        <v>0.68828871291694349</v>
      </c>
    </row>
    <row r="291" spans="1:4">
      <c r="A291">
        <v>1.0815619999999999</v>
      </c>
      <c r="B291">
        <v>4.6816269999999998</v>
      </c>
      <c r="C291">
        <f>LOG10(1.081562)</f>
        <v>3.4051420202383595E-2</v>
      </c>
      <c r="D291">
        <f>LOG10(4.681627)</f>
        <v>0.67039680912677824</v>
      </c>
    </row>
    <row r="292" spans="1:4">
      <c r="A292">
        <v>1.0675520000000001</v>
      </c>
      <c r="B292">
        <v>4.778448</v>
      </c>
      <c r="C292">
        <f>LOG10(1.067552)</f>
        <v>2.8389038510212121E-2</v>
      </c>
      <c r="D292">
        <f>LOG10(4.778448)</f>
        <v>0.67928686429351715</v>
      </c>
    </row>
    <row r="293" spans="1:4">
      <c r="A293">
        <v>1.0606629999999999</v>
      </c>
      <c r="B293">
        <v>4.2268720000000002</v>
      </c>
      <c r="C293">
        <f>LOG10(1.060663)</f>
        <v>2.5577419256029636E-2</v>
      </c>
      <c r="D293">
        <f>LOG10(4.226872)</f>
        <v>0.62601909653132048</v>
      </c>
    </row>
    <row r="294" spans="1:4">
      <c r="A294">
        <v>1.03111</v>
      </c>
      <c r="B294">
        <v>3.9994139999999998</v>
      </c>
      <c r="C294">
        <f>LOG10(1.03111)</f>
        <v>1.3304998789541597E-2</v>
      </c>
      <c r="D294">
        <f>LOG10(3.999414)</f>
        <v>0.60199636252543998</v>
      </c>
    </row>
    <row r="295" spans="1:4">
      <c r="A295">
        <v>1.0390470000000001</v>
      </c>
      <c r="B295">
        <v>3.8920880000000002</v>
      </c>
      <c r="C295">
        <f>LOG10(1.039047)</f>
        <v>1.6635192772760078E-2</v>
      </c>
      <c r="D295">
        <f>LOG10(3.892088)</f>
        <v>0.59018265109332135</v>
      </c>
    </row>
    <row r="296" spans="1:4">
      <c r="A296">
        <v>1.0548299999999999</v>
      </c>
      <c r="B296">
        <v>4.2524949999999997</v>
      </c>
      <c r="C296">
        <f>LOG10(1.05483)</f>
        <v>2.3182472893468552E-2</v>
      </c>
      <c r="D296">
        <f>LOG10(4.252495)</f>
        <v>0.62864381164999494</v>
      </c>
    </row>
    <row r="297" spans="1:4">
      <c r="A297">
        <v>1.049526</v>
      </c>
      <c r="B297">
        <v>4.2214749999999999</v>
      </c>
      <c r="C297">
        <f>LOG10(1.049526)</f>
        <v>2.0993201867122158E-2</v>
      </c>
      <c r="D297">
        <f>LOG10(4.221475)</f>
        <v>0.62546422168120486</v>
      </c>
    </row>
    <row r="298" spans="1:4">
      <c r="A298">
        <v>1.0508219999999999</v>
      </c>
      <c r="B298">
        <v>4.1383270000000003</v>
      </c>
      <c r="C298">
        <f>LOG10(1.050822)</f>
        <v>2.1529156594604523E-2</v>
      </c>
      <c r="D298">
        <f>LOG10(4.138327)</f>
        <v>0.61682480452319854</v>
      </c>
    </row>
    <row r="299" spans="1:4">
      <c r="A299">
        <v>1.0467109999999999</v>
      </c>
      <c r="B299">
        <v>4.1257239999999999</v>
      </c>
      <c r="C299">
        <f>LOG10(1.046711)</f>
        <v>1.9826788239807835E-2</v>
      </c>
      <c r="D299">
        <f>LOG10(4.125724)</f>
        <v>0.61550017145917579</v>
      </c>
    </row>
    <row r="300" spans="1:4">
      <c r="A300">
        <v>1.050427</v>
      </c>
      <c r="B300">
        <v>4.1706120000000002</v>
      </c>
      <c r="C300">
        <f>LOG10(1.050427)</f>
        <v>2.1365876257650226E-2</v>
      </c>
      <c r="D300">
        <f>LOG10(4.170612)</f>
        <v>0.62019978847998025</v>
      </c>
    </row>
    <row r="301" spans="1:4">
      <c r="A301">
        <v>1.0501769999999999</v>
      </c>
      <c r="B301">
        <v>4.0229379999999999</v>
      </c>
      <c r="C301">
        <f>LOG10(1.050177)</f>
        <v>2.1262502541339615E-2</v>
      </c>
      <c r="D301">
        <f>LOG10(4.022938)</f>
        <v>0.60454333944042227</v>
      </c>
    </row>
    <row r="302" spans="1:4">
      <c r="A302">
        <v>1.0485180000000001</v>
      </c>
      <c r="B302">
        <v>4.1793100000000001</v>
      </c>
      <c r="C302">
        <f>LOG10(1.048518)</f>
        <v>2.0575890436626134E-2</v>
      </c>
      <c r="D302">
        <f>LOG10(4.17931)</f>
        <v>0.62110458609843178</v>
      </c>
    </row>
    <row r="303" spans="1:4">
      <c r="A303">
        <v>1.0422279999999999</v>
      </c>
      <c r="B303">
        <v>3.9220190000000001</v>
      </c>
      <c r="C303">
        <f>LOG10(1.042228)</f>
        <v>1.796273653573759E-2</v>
      </c>
      <c r="D303">
        <f>LOG10(3.922019)</f>
        <v>0.59350969325200209</v>
      </c>
    </row>
    <row r="304" spans="1:4">
      <c r="A304">
        <v>1.0581970000000001</v>
      </c>
      <c r="B304">
        <v>3.922472</v>
      </c>
      <c r="C304">
        <f>LOG10(1.058197)</f>
        <v>2.4566525968205334E-2</v>
      </c>
      <c r="D304">
        <f>LOG10(3.922472)</f>
        <v>0.59355985212158857</v>
      </c>
    </row>
    <row r="305" spans="1:4">
      <c r="A305">
        <v>1.071118</v>
      </c>
      <c r="B305">
        <v>4.0507799999999996</v>
      </c>
      <c r="C305">
        <f>LOG10(1.071118)</f>
        <v>2.9837317634801526E-2</v>
      </c>
      <c r="D305">
        <f>LOG10(4.05078)</f>
        <v>0.60753865706151566</v>
      </c>
    </row>
    <row r="306" spans="1:4">
      <c r="A306">
        <v>1.0577570000000001</v>
      </c>
      <c r="B306">
        <v>4.1794120000000001</v>
      </c>
      <c r="C306">
        <f>LOG10(1.057757)</f>
        <v>2.4385908076897951E-2</v>
      </c>
      <c r="D306">
        <f>LOG10(4.179412)</f>
        <v>0.62111518533529031</v>
      </c>
    </row>
    <row r="307" spans="1:4">
      <c r="A307">
        <v>1.0595190000000001</v>
      </c>
      <c r="B307">
        <v>4.1399249999999999</v>
      </c>
      <c r="C307">
        <f>LOG10(1.059519)</f>
        <v>2.5108749174391688E-2</v>
      </c>
      <c r="D307">
        <f>LOG10(4.139925)</f>
        <v>0.6169924733959754</v>
      </c>
    </row>
    <row r="308" spans="1:4">
      <c r="A308">
        <v>1.0427439999999999</v>
      </c>
      <c r="B308">
        <v>4.1730299999999998</v>
      </c>
      <c r="C308">
        <f>LOG10(1.042744)</f>
        <v>1.8177699573358505E-2</v>
      </c>
      <c r="D308">
        <f>LOG10(4.17303)</f>
        <v>0.62045150687505046</v>
      </c>
    </row>
    <row r="309" spans="1:4">
      <c r="A309">
        <v>1.0540229999999999</v>
      </c>
      <c r="B309">
        <v>3.8989210000000001</v>
      </c>
      <c r="C309">
        <f>LOG10(1.054023)</f>
        <v>2.2850087787438304E-2</v>
      </c>
      <c r="D309">
        <f>LOG10(3.898921)</f>
        <v>0.59094443559535803</v>
      </c>
    </row>
    <row r="310" spans="1:4">
      <c r="A310">
        <v>1.061442</v>
      </c>
      <c r="B310">
        <v>4.0947930000000001</v>
      </c>
      <c r="C310">
        <f>LOG10(1.061442)</f>
        <v>2.5896268150499141E-2</v>
      </c>
      <c r="D310">
        <f>LOG10(4.094793)</f>
        <v>0.61223195219411686</v>
      </c>
    </row>
    <row r="311" spans="1:4">
      <c r="A311">
        <v>1.069421</v>
      </c>
      <c r="B311">
        <v>3.71604</v>
      </c>
      <c r="C311">
        <f>LOG10(1.069421)</f>
        <v>2.9148707999382378E-2</v>
      </c>
      <c r="D311">
        <f>LOG10(3.71604)</f>
        <v>0.57008038015631346</v>
      </c>
    </row>
    <row r="312" spans="1:4">
      <c r="A312">
        <v>1.07101</v>
      </c>
      <c r="B312">
        <v>3.488931</v>
      </c>
      <c r="C312">
        <f>LOG10(1.07101)</f>
        <v>2.9793525850103982E-2</v>
      </c>
      <c r="D312">
        <f>LOG10(3.488931)</f>
        <v>0.54269238056431357</v>
      </c>
    </row>
    <row r="313" spans="1:4">
      <c r="A313">
        <v>1.075294</v>
      </c>
      <c r="B313">
        <v>3.4340890000000002</v>
      </c>
      <c r="C313">
        <f>LOG10(1.075294)</f>
        <v>3.1527222503728428E-2</v>
      </c>
      <c r="D313">
        <f>LOG10(3.434089)</f>
        <v>0.5358115464183798</v>
      </c>
    </row>
    <row r="314" spans="1:4">
      <c r="A314">
        <v>1.1190500000000001</v>
      </c>
      <c r="B314">
        <v>3.444566</v>
      </c>
      <c r="C314">
        <f>LOG10(1.11905)</f>
        <v>4.8849491567646591E-2</v>
      </c>
      <c r="D314">
        <f>LOG10(3.444566)</f>
        <v>0.53713451051687888</v>
      </c>
    </row>
    <row r="315" spans="1:4">
      <c r="A315">
        <v>1.1277999999999999</v>
      </c>
      <c r="B315">
        <v>3.585353</v>
      </c>
      <c r="C315">
        <f>LOG10(1.1278)</f>
        <v>5.2232090252334322E-2</v>
      </c>
      <c r="D315">
        <f>LOG10(3.585353)</f>
        <v>0.55453192106516014</v>
      </c>
    </row>
    <row r="316" spans="1:4">
      <c r="A316">
        <v>1.1253489999999999</v>
      </c>
      <c r="B316">
        <v>3.7635179999999999</v>
      </c>
      <c r="C316">
        <f>LOG10(1.125349)</f>
        <v>5.128722935319846E-2</v>
      </c>
      <c r="D316">
        <f>LOG10(3.763518)</f>
        <v>0.5755939975011487</v>
      </c>
    </row>
    <row r="317" spans="1:4">
      <c r="A317">
        <v>1.1343319999999999</v>
      </c>
      <c r="B317">
        <v>3.6678000000000002</v>
      </c>
      <c r="C317">
        <f>LOG10(1.134332)</f>
        <v>5.4740183891589592E-2</v>
      </c>
      <c r="D317">
        <f>LOG10(3.6678)</f>
        <v>0.56440564617342392</v>
      </c>
    </row>
    <row r="318" spans="1:4">
      <c r="A318">
        <v>1.1245019999999999</v>
      </c>
      <c r="B318">
        <v>3.6984699999999999</v>
      </c>
      <c r="C318">
        <f>LOG10(1.124502)</f>
        <v>5.0960232193341816E-2</v>
      </c>
      <c r="D318">
        <f>LOG10(3.69847)</f>
        <v>0.56802210028889377</v>
      </c>
    </row>
    <row r="319" spans="1:4">
      <c r="A319">
        <v>1.173036</v>
      </c>
      <c r="B319">
        <v>3.6926410000000001</v>
      </c>
      <c r="C319">
        <f>LOG10(1.173036)</f>
        <v>6.9311340641902863E-2</v>
      </c>
      <c r="D319">
        <f>LOG10(3.692641)</f>
        <v>0.56733708742415589</v>
      </c>
    </row>
    <row r="320" spans="1:4">
      <c r="A320">
        <v>1.161497</v>
      </c>
      <c r="B320">
        <v>3.581372</v>
      </c>
      <c r="C320">
        <f>LOG10(1.161497)</f>
        <v>6.5018092409927702E-2</v>
      </c>
      <c r="D320">
        <f>LOG10(3.581372)</f>
        <v>0.55404943387323247</v>
      </c>
    </row>
    <row r="321" spans="1:4">
      <c r="A321">
        <v>1.142339</v>
      </c>
      <c r="B321">
        <v>3.7711890000000001</v>
      </c>
      <c r="C321">
        <f>LOG10(1.142339)</f>
        <v>5.7795004069084055E-2</v>
      </c>
      <c r="D321">
        <f>LOG10(3.771189)</f>
        <v>0.57647829840938836</v>
      </c>
    </row>
    <row r="322" spans="1:4">
      <c r="A322">
        <v>1.1813549999999999</v>
      </c>
      <c r="B322">
        <v>3.7296049999999998</v>
      </c>
      <c r="C322">
        <f>LOG10(1.181355)</f>
        <v>7.2380423755636678E-2</v>
      </c>
      <c r="D322">
        <f>LOG10(3.729605)</f>
        <v>0.57166283840273324</v>
      </c>
    </row>
    <row r="323" spans="1:4">
      <c r="A323">
        <v>1.1256729999999999</v>
      </c>
      <c r="B323">
        <v>3.6946669999999999</v>
      </c>
      <c r="C323">
        <f>LOG10(1.125673)</f>
        <v>5.1412249377976865E-2</v>
      </c>
      <c r="D323">
        <f>LOG10(3.694667)</f>
        <v>0.56757530157263758</v>
      </c>
    </row>
    <row r="324" spans="1:4">
      <c r="A324">
        <v>1.1583429999999999</v>
      </c>
      <c r="B324">
        <v>3.8010410000000001</v>
      </c>
      <c r="C324">
        <f>LOG10(1.158343)</f>
        <v>6.3837178519397617E-2</v>
      </c>
      <c r="D324">
        <f>LOG10(3.801041)</f>
        <v>0.5799025541539391</v>
      </c>
    </row>
    <row r="325" spans="1:4">
      <c r="A325">
        <v>1.14344</v>
      </c>
      <c r="B325">
        <v>3.6282190000000001</v>
      </c>
      <c r="C325">
        <f>LOG10(1.14344)</f>
        <v>5.8213380702655901E-2</v>
      </c>
      <c r="D325">
        <f>LOG10(3.628219)</f>
        <v>0.55969349327808937</v>
      </c>
    </row>
    <row r="326" spans="1:4">
      <c r="A326">
        <v>1.1650910000000001</v>
      </c>
      <c r="B326">
        <v>3.645508</v>
      </c>
      <c r="C326">
        <f>LOG10(1.165091)</f>
        <v>6.6359847468833888E-2</v>
      </c>
      <c r="D326">
        <f>LOG10(3.645508)</f>
        <v>0.56175805562363124</v>
      </c>
    </row>
    <row r="327" spans="1:4">
      <c r="A327">
        <v>1.1395789999999999</v>
      </c>
      <c r="B327">
        <v>2.470205</v>
      </c>
      <c r="C327">
        <f>LOG10(1.139579)</f>
        <v>5.6744437524132635E-2</v>
      </c>
      <c r="D327">
        <f>LOG10(2.470205)</f>
        <v>0.39273299644768778</v>
      </c>
    </row>
    <row r="328" spans="1:4">
      <c r="A328">
        <v>1.009233</v>
      </c>
      <c r="B328">
        <v>5.3044200000000004</v>
      </c>
      <c r="C328">
        <f>LOG10(1.009233)</f>
        <v>3.991442681437034E-3</v>
      </c>
      <c r="D328">
        <f>LOG10(5.30442)</f>
        <v>0.72463790386974003</v>
      </c>
    </row>
    <row r="329" spans="1:4">
      <c r="A329">
        <v>1.013533</v>
      </c>
      <c r="B329">
        <v>5.2170139999999998</v>
      </c>
      <c r="C329">
        <f>LOG10(1.013533)</f>
        <v>5.8378936156919456E-3</v>
      </c>
      <c r="D329">
        <f>LOG10(5.217014)</f>
        <v>0.71742200216507923</v>
      </c>
    </row>
    <row r="330" spans="1:4">
      <c r="A330">
        <v>1.0097259999999999</v>
      </c>
      <c r="B330">
        <v>4.8771180000000003</v>
      </c>
      <c r="C330">
        <f>LOG10(1.009726)</f>
        <v>4.2035392954185196E-3</v>
      </c>
      <c r="D330">
        <f>LOG10(4.877118)</f>
        <v>0.68816326330715216</v>
      </c>
    </row>
    <row r="331" spans="1:4">
      <c r="A331">
        <v>1.011711</v>
      </c>
      <c r="B331">
        <v>4.9680020000000003</v>
      </c>
      <c r="C331">
        <f>LOG10(1.011711)</f>
        <v>5.0564719603200577E-3</v>
      </c>
      <c r="D331">
        <f>LOG10(4.968002)</f>
        <v>0.69618176200523652</v>
      </c>
    </row>
    <row r="332" spans="1:4">
      <c r="A332">
        <v>1.0109600000000001</v>
      </c>
      <c r="B332">
        <v>5.1760130000000002</v>
      </c>
      <c r="C332">
        <f>LOG10(1.01096)</f>
        <v>4.733972482256715E-3</v>
      </c>
      <c r="D332">
        <f>LOG10(5.176013)</f>
        <v>0.71399535842980444</v>
      </c>
    </row>
    <row r="333" spans="1:4">
      <c r="A333">
        <v>1.0096769999999999</v>
      </c>
      <c r="B333">
        <v>5.5213179999999999</v>
      </c>
      <c r="C333">
        <f>LOG10(1.009677)</f>
        <v>4.1824633342384867E-3</v>
      </c>
      <c r="D333">
        <f>LOG10(5.521318)</f>
        <v>0.7420427610267667</v>
      </c>
    </row>
    <row r="334" spans="1:4">
      <c r="A334">
        <v>1.01007</v>
      </c>
      <c r="B334">
        <v>5.3150069999999996</v>
      </c>
      <c r="C334">
        <f>LOG10(1.01007)</f>
        <v>4.3514723571923732E-3</v>
      </c>
      <c r="D334">
        <f>LOG10(5.315007)</f>
        <v>0.72550384083661967</v>
      </c>
    </row>
    <row r="335" spans="1:4">
      <c r="A335">
        <v>1.0104599999999999</v>
      </c>
      <c r="B335">
        <v>5.5898250000000003</v>
      </c>
      <c r="C335">
        <f>LOG10(1.01046)</f>
        <v>4.5191262401296636E-3</v>
      </c>
      <c r="D335">
        <f>LOG10(5.589825)</f>
        <v>0.74739821169250453</v>
      </c>
    </row>
    <row r="336" spans="1:4">
      <c r="A336">
        <v>1.01149</v>
      </c>
      <c r="B336">
        <v>5.3097250000000003</v>
      </c>
      <c r="C336">
        <f>LOG10(1.01149)</f>
        <v>4.9615935168214973E-3</v>
      </c>
      <c r="D336">
        <f>LOG10(5.309725)</f>
        <v>0.72507202878858013</v>
      </c>
    </row>
    <row r="337" spans="1:4">
      <c r="A337">
        <v>1.0123690000000001</v>
      </c>
      <c r="B337">
        <v>5.0627769999999996</v>
      </c>
      <c r="C337">
        <f>LOG10(1.012369)</f>
        <v>5.338838051738402E-3</v>
      </c>
      <c r="D337">
        <f>LOG10(5.062777)</f>
        <v>0.7043887984509617</v>
      </c>
    </row>
    <row r="338" spans="1:4">
      <c r="A338">
        <v>1.0155860000000001</v>
      </c>
      <c r="B338">
        <v>4.914256</v>
      </c>
      <c r="C338">
        <f>LOG10(1.015586)</f>
        <v>6.7167054306585278E-3</v>
      </c>
      <c r="D338">
        <f>LOG10(4.914256)</f>
        <v>0.69145777658269947</v>
      </c>
    </row>
    <row r="339" spans="1:4">
      <c r="A339">
        <v>1.0096970000000001</v>
      </c>
      <c r="B339">
        <v>5.0113570000000003</v>
      </c>
      <c r="C339">
        <f>LOG10(1.009697)</f>
        <v>4.1910658909104122E-3</v>
      </c>
      <c r="D339">
        <f>LOG10(5.011357)</f>
        <v>0.69995534219715894</v>
      </c>
    </row>
    <row r="340" spans="1:4">
      <c r="A340">
        <v>1.0174609999999999</v>
      </c>
      <c r="B340">
        <v>4.825882</v>
      </c>
      <c r="C340">
        <f>LOG10(1.017461)</f>
        <v>7.517771401529893E-3</v>
      </c>
      <c r="D340">
        <f>LOG10(4.825882)</f>
        <v>0.68357669855590231</v>
      </c>
    </row>
    <row r="341" spans="1:4">
      <c r="A341">
        <v>1.0170300000000001</v>
      </c>
      <c r="B341">
        <v>4.81257</v>
      </c>
      <c r="C341">
        <f>LOG10(1.01703)</f>
        <v>7.3337637804586787E-3</v>
      </c>
      <c r="D341">
        <f>LOG10(4.81257)</f>
        <v>0.68237705948126148</v>
      </c>
    </row>
    <row r="342" spans="1:4">
      <c r="A342">
        <v>1.0099340000000001</v>
      </c>
      <c r="B342">
        <v>4.2825689999999996</v>
      </c>
      <c r="C342">
        <f>LOG10(1.009934)</f>
        <v>4.2929932159351796E-3</v>
      </c>
      <c r="D342">
        <f>LOG10(4.282569)</f>
        <v>0.63170436897037796</v>
      </c>
    </row>
    <row r="343" spans="1:4">
      <c r="A343">
        <v>1.0119419999999999</v>
      </c>
      <c r="B343">
        <v>4.0784370000000001</v>
      </c>
      <c r="C343">
        <f>LOG10(1.011942)</f>
        <v>5.1556213952828047E-3</v>
      </c>
      <c r="D343">
        <f>LOG10(4.078437)</f>
        <v>0.61049375810727868</v>
      </c>
    </row>
    <row r="344" spans="1:4">
      <c r="A344">
        <v>1.0207409999999999</v>
      </c>
      <c r="B344">
        <v>4.049226</v>
      </c>
      <c r="C344">
        <f>LOG10(1.020741)</f>
        <v>8.9155593836032897E-3</v>
      </c>
      <c r="D344">
        <f>LOG10(4.049226)</f>
        <v>0.60737201678170416</v>
      </c>
    </row>
    <row r="345" spans="1:4">
      <c r="A345">
        <v>1.062643</v>
      </c>
      <c r="B345">
        <v>4.2642429999999996</v>
      </c>
      <c r="C345">
        <f>LOG10(1.062643)</f>
        <v>2.6387385717215751E-2</v>
      </c>
      <c r="D345">
        <f>LOG10(4.264243)</f>
        <v>0.62984194520990988</v>
      </c>
    </row>
    <row r="346" spans="1:4">
      <c r="A346">
        <v>1.0321929999999999</v>
      </c>
      <c r="B346">
        <v>4.3475489999999999</v>
      </c>
      <c r="C346">
        <f>LOG10(1.032193)</f>
        <v>1.3760909498821914E-2</v>
      </c>
      <c r="D346">
        <f>LOG10(4.347549)</f>
        <v>0.63824448551309165</v>
      </c>
    </row>
    <row r="347" spans="1:4">
      <c r="A347">
        <v>1.0225040000000001</v>
      </c>
      <c r="B347">
        <v>4.1872590000000001</v>
      </c>
      <c r="C347">
        <f>LOG10(1.022504)</f>
        <v>9.6650156275747707E-3</v>
      </c>
      <c r="D347">
        <f>LOG10(4.187259)</f>
        <v>0.62192982470589131</v>
      </c>
    </row>
    <row r="348" spans="1:4">
      <c r="A348">
        <v>1.0126489999999999</v>
      </c>
      <c r="B348">
        <v>4.1792809999999996</v>
      </c>
      <c r="C348">
        <f>LOG10(1.012649)</f>
        <v>5.458938175004268E-3</v>
      </c>
      <c r="D348">
        <f>LOG10(4.179281)</f>
        <v>0.62110157254268406</v>
      </c>
    </row>
    <row r="349" spans="1:4">
      <c r="A349">
        <v>1.028214</v>
      </c>
      <c r="B349">
        <v>4.1686069999999997</v>
      </c>
      <c r="C349">
        <f>LOG10(1.028214)</f>
        <v>1.2083512856587398E-2</v>
      </c>
      <c r="D349">
        <f>LOG10(4.168607)</f>
        <v>0.6199909534672543</v>
      </c>
    </row>
    <row r="350" spans="1:4">
      <c r="A350">
        <v>1.021582</v>
      </c>
      <c r="B350">
        <v>4.0911039999999996</v>
      </c>
      <c r="C350">
        <f>LOG10(1.021582)</f>
        <v>9.2732321708412276E-3</v>
      </c>
      <c r="D350">
        <f>LOG10(4.091104)</f>
        <v>0.61184051984352705</v>
      </c>
    </row>
    <row r="351" spans="1:4">
      <c r="A351">
        <v>1.0171289999999999</v>
      </c>
      <c r="B351">
        <v>4.1708489999999996</v>
      </c>
      <c r="C351">
        <f>LOG10(1.017129)</f>
        <v>7.376036929944341E-3</v>
      </c>
      <c r="D351">
        <f>LOG10(4.170849)</f>
        <v>0.62022446708058476</v>
      </c>
    </row>
    <row r="352" spans="1:4">
      <c r="A352">
        <v>1.026278</v>
      </c>
      <c r="B352">
        <v>3.8948710000000002</v>
      </c>
      <c r="C352">
        <f>LOG10(1.026278)</f>
        <v>1.1265019169745628E-2</v>
      </c>
      <c r="D352">
        <f>LOG10(3.894871)</f>
        <v>0.59049307820475117</v>
      </c>
    </row>
    <row r="353" spans="1:4">
      <c r="A353">
        <v>1.0299830000000001</v>
      </c>
      <c r="B353">
        <v>3.9766949999999999</v>
      </c>
      <c r="C353">
        <f>LOG10(1.029983)</f>
        <v>1.2830056678841422E-2</v>
      </c>
      <c r="D353">
        <f>LOG10(3.976695)</f>
        <v>0.59952228324233525</v>
      </c>
    </row>
    <row r="354" spans="1:4">
      <c r="A354">
        <v>1.0215320000000001</v>
      </c>
      <c r="B354">
        <v>4.1105879999999999</v>
      </c>
      <c r="C354">
        <f>LOG10(1.021532)</f>
        <v>9.2519756730643568E-3</v>
      </c>
      <c r="D354">
        <f>LOG10(4.110588)</f>
        <v>0.613903950073175</v>
      </c>
    </row>
    <row r="355" spans="1:4">
      <c r="A355">
        <v>1.024116</v>
      </c>
      <c r="B355">
        <v>4.2141859999999998</v>
      </c>
      <c r="C355">
        <f>LOG10(1.024116)</f>
        <v>1.0349151275227774E-2</v>
      </c>
      <c r="D355">
        <f>LOG10(4.214186)</f>
        <v>0.62471369999323845</v>
      </c>
    </row>
    <row r="356" spans="1:4">
      <c r="A356">
        <v>1.025509</v>
      </c>
      <c r="B356">
        <v>4.1984640000000004</v>
      </c>
      <c r="C356">
        <f>LOG10(1.025509)</f>
        <v>1.0939476145814316E-2</v>
      </c>
      <c r="D356">
        <f>LOG10(4.198464)</f>
        <v>0.62309043365180006</v>
      </c>
    </row>
    <row r="357" spans="1:4">
      <c r="A357">
        <v>1.023236</v>
      </c>
      <c r="B357">
        <v>4.0907159999999996</v>
      </c>
      <c r="C357">
        <f>LOG10(1.023236)</f>
        <v>9.9758113047581122E-3</v>
      </c>
      <c r="D357">
        <f>LOG10(4.090716)</f>
        <v>0.61179932943378823</v>
      </c>
    </row>
    <row r="358" spans="1:4">
      <c r="A358">
        <v>1.0102009999999999</v>
      </c>
      <c r="B358">
        <v>3.890304</v>
      </c>
      <c r="C358">
        <f>LOG10(1.010201)</f>
        <v>4.4077940855238801E-3</v>
      </c>
      <c r="D358">
        <f>LOG10(3.890304)</f>
        <v>0.58998353972260476</v>
      </c>
    </row>
    <row r="359" spans="1:4">
      <c r="A359">
        <v>1.012891</v>
      </c>
      <c r="B359">
        <v>3.9655619999999998</v>
      </c>
      <c r="C359">
        <f>LOG10(1.012891)</f>
        <v>5.5627122452479427E-3</v>
      </c>
      <c r="D359">
        <f>LOG10(3.965562)</f>
        <v>0.59830474428992708</v>
      </c>
    </row>
    <row r="360" spans="1:4">
      <c r="A360">
        <v>1.0149300000000001</v>
      </c>
      <c r="B360">
        <v>3.6356760000000001</v>
      </c>
      <c r="C360">
        <f>LOG10(1.01493)</f>
        <v>6.4360898727997967E-3</v>
      </c>
      <c r="D360">
        <f>LOG10(3.635676)</f>
        <v>0.56058517331730351</v>
      </c>
    </row>
    <row r="361" spans="1:4">
      <c r="A361">
        <v>1.0128079999999999</v>
      </c>
      <c r="B361">
        <v>3.4389500000000002</v>
      </c>
      <c r="C361">
        <f>LOG10(1.012808)</f>
        <v>5.5271231058761344E-3</v>
      </c>
      <c r="D361">
        <f>LOG10(3.43895)</f>
        <v>0.53642586152077676</v>
      </c>
    </row>
    <row r="362" spans="1:4">
      <c r="A362">
        <v>1.0156480000000001</v>
      </c>
      <c r="B362">
        <v>3.4630879999999999</v>
      </c>
      <c r="C362">
        <f>LOG10(1.015648)</f>
        <v>6.7432176472582567E-3</v>
      </c>
      <c r="D362">
        <f>LOG10(3.463088)</f>
        <v>0.53946352748039605</v>
      </c>
    </row>
    <row r="363" spans="1:4">
      <c r="A363">
        <v>1.015633</v>
      </c>
      <c r="B363">
        <v>3.4377849999999999</v>
      </c>
      <c r="C363">
        <f>LOG10(1.015633)</f>
        <v>6.7368035497220608E-3</v>
      </c>
      <c r="D363">
        <f>LOG10(3.437785)</f>
        <v>0.53627871230643076</v>
      </c>
    </row>
    <row r="364" spans="1:4">
      <c r="A364">
        <v>1.012877</v>
      </c>
      <c r="B364">
        <v>3.641769</v>
      </c>
      <c r="C364">
        <f>LOG10(1.012877)</f>
        <v>5.5567094623559981E-3</v>
      </c>
      <c r="D364">
        <f>LOG10(3.641769)</f>
        <v>0.56131239472441441</v>
      </c>
    </row>
    <row r="365" spans="1:4">
      <c r="A365">
        <v>1.017298</v>
      </c>
      <c r="B365">
        <v>3.9571339999999999</v>
      </c>
      <c r="C365">
        <f>LOG10(1.017298)</f>
        <v>7.4481906789955607E-3</v>
      </c>
      <c r="D365">
        <f>LOG10(3.957134)</f>
        <v>0.59738075698203241</v>
      </c>
    </row>
    <row r="366" spans="1:4">
      <c r="A366">
        <v>1.0119689999999999</v>
      </c>
      <c r="B366">
        <v>3.8617349999999999</v>
      </c>
      <c r="C366">
        <f>LOG10(1.011969)</f>
        <v>5.1672088129232872E-3</v>
      </c>
      <c r="D366">
        <f>LOG10(3.861735)</f>
        <v>0.58678246830759129</v>
      </c>
    </row>
    <row r="367" spans="1:4">
      <c r="A367">
        <v>1.0147010000000001</v>
      </c>
      <c r="B367">
        <v>3.7615699999999999</v>
      </c>
      <c r="C367">
        <f>LOG10(1.014701)</f>
        <v>6.3380883771802657E-3</v>
      </c>
      <c r="D367">
        <f>LOG10(3.76157)</f>
        <v>0.57536914812539519</v>
      </c>
    </row>
    <row r="368" spans="1:4">
      <c r="A368">
        <v>1.015884</v>
      </c>
      <c r="B368">
        <v>3.843083</v>
      </c>
      <c r="C368">
        <f>LOG10(1.015884)</f>
        <v>6.8441203140045138E-3</v>
      </c>
      <c r="D368">
        <f>LOG10(3.843083)</f>
        <v>0.58467976412938727</v>
      </c>
    </row>
    <row r="369" spans="1:4">
      <c r="A369">
        <v>1.014421</v>
      </c>
      <c r="B369">
        <v>3.7960769999999999</v>
      </c>
      <c r="C369">
        <f>LOG10(1.014421)</f>
        <v>6.218231162380205E-3</v>
      </c>
      <c r="D369">
        <f>LOG10(3.796077)</f>
        <v>0.57933501311667424</v>
      </c>
    </row>
    <row r="370" spans="1:4">
      <c r="A370">
        <v>1.015836</v>
      </c>
      <c r="B370">
        <v>4.051158</v>
      </c>
      <c r="C370">
        <f>LOG10(1.015836)</f>
        <v>6.82359963680957E-3</v>
      </c>
      <c r="D370">
        <f>LOG10(4.051158)</f>
        <v>0.60757918151733814</v>
      </c>
    </row>
    <row r="371" spans="1:4">
      <c r="A371">
        <v>1.014427</v>
      </c>
      <c r="B371">
        <v>4.0678679999999998</v>
      </c>
      <c r="C371">
        <f>LOG10(1.014427)</f>
        <v>6.2207998781158395E-3</v>
      </c>
      <c r="D371">
        <f>LOG10(4.067868)</f>
        <v>0.60936685187073814</v>
      </c>
    </row>
    <row r="372" spans="1:4">
      <c r="A372">
        <v>1.0150319999999999</v>
      </c>
      <c r="B372">
        <v>3.9734600000000002</v>
      </c>
      <c r="C372">
        <f>LOG10(1.015032)</f>
        <v>6.4797340761802895E-3</v>
      </c>
      <c r="D372">
        <f>LOG10(3.97346)</f>
        <v>0.59916884542219251</v>
      </c>
    </row>
    <row r="373" spans="1:4">
      <c r="A373">
        <v>1.0118990000000001</v>
      </c>
      <c r="B373">
        <v>3.9975610000000001</v>
      </c>
      <c r="C373">
        <f>LOG10(1.011899)</f>
        <v>5.1371667214971072E-3</v>
      </c>
      <c r="D373">
        <f>LOG10(3.997561)</f>
        <v>0.60179509950051635</v>
      </c>
    </row>
    <row r="374" spans="1:4">
      <c r="A374">
        <v>1.016737</v>
      </c>
      <c r="B374">
        <v>3.981617</v>
      </c>
      <c r="C374">
        <f>LOG10(1.016737)</f>
        <v>7.2086282225721924E-3</v>
      </c>
      <c r="D374">
        <f>LOG10(3.981617)</f>
        <v>0.60005948201324999</v>
      </c>
    </row>
    <row r="375" spans="1:4">
      <c r="A375">
        <v>1.1028249999999999</v>
      </c>
      <c r="B375">
        <v>3.4104269999999999</v>
      </c>
      <c r="C375">
        <f>LOG10(1.102825)</f>
        <v>4.2506602590594599E-2</v>
      </c>
      <c r="D375">
        <f>LOG10(3.410427)</f>
        <v>0.53280875791745796</v>
      </c>
    </row>
    <row r="376" spans="1:4">
      <c r="A376">
        <v>1.0972489999999999</v>
      </c>
      <c r="B376">
        <v>3.5058500000000001</v>
      </c>
      <c r="C376">
        <f>LOG10(1.097249)</f>
        <v>4.0305193714158437E-2</v>
      </c>
      <c r="D376">
        <f>LOG10(3.50585)</f>
        <v>0.54479333059237889</v>
      </c>
    </row>
    <row r="377" spans="1:4">
      <c r="A377">
        <v>1.1170359999999999</v>
      </c>
      <c r="B377">
        <v>3.3791319999999998</v>
      </c>
      <c r="C377">
        <f>LOG10(1.117036)</f>
        <v>4.8067169847398367E-2</v>
      </c>
      <c r="D377">
        <f>LOG10(3.379132)</f>
        <v>0.52880515707584586</v>
      </c>
    </row>
    <row r="378" spans="1:4">
      <c r="A378">
        <v>1.1107590000000001</v>
      </c>
      <c r="B378">
        <v>3.4145289999999999</v>
      </c>
      <c r="C378">
        <f>LOG10(1.110759)</f>
        <v>4.5619840827607658E-2</v>
      </c>
      <c r="D378">
        <f>LOG10(3.414529)</f>
        <v>0.53333080558466006</v>
      </c>
    </row>
    <row r="379" spans="1:4">
      <c r="A379">
        <v>1.114703</v>
      </c>
      <c r="B379">
        <v>3.9370189999999998</v>
      </c>
      <c r="C379">
        <f>LOG10(1.114703)</f>
        <v>4.715916994654934E-2</v>
      </c>
      <c r="D379">
        <f>LOG10(3.937019)</f>
        <v>0.59516751069453355</v>
      </c>
    </row>
    <row r="380" spans="1:4">
      <c r="A380">
        <v>1.117178</v>
      </c>
      <c r="B380">
        <v>3.7931210000000002</v>
      </c>
      <c r="C380">
        <f>LOG10(1.117178)</f>
        <v>4.8122374779883209E-2</v>
      </c>
      <c r="D380">
        <f>LOG10(3.793121)</f>
        <v>0.5789966968536312</v>
      </c>
    </row>
    <row r="381" spans="1:4">
      <c r="A381">
        <v>1.1395980000000001</v>
      </c>
      <c r="B381">
        <v>3.8709479999999998</v>
      </c>
      <c r="C381">
        <f>LOG10(1.139598)</f>
        <v>5.6751678379192552E-2</v>
      </c>
      <c r="D381">
        <f>LOG10(3.870948)</f>
        <v>0.5878173373058464</v>
      </c>
    </row>
    <row r="382" spans="1:4">
      <c r="A382">
        <v>1.164236</v>
      </c>
      <c r="B382">
        <v>3.8315250000000001</v>
      </c>
      <c r="C382">
        <f>LOG10(1.164236)</f>
        <v>6.6041024221858577E-2</v>
      </c>
      <c r="D382">
        <f>LOG10(3.831525)</f>
        <v>0.58337166359403003</v>
      </c>
    </row>
    <row r="383" spans="1:4">
      <c r="A383">
        <v>1.166723</v>
      </c>
      <c r="B383">
        <v>3.8918979999999999</v>
      </c>
      <c r="C383">
        <f>LOG10(1.166723)</f>
        <v>6.6967759343617511E-2</v>
      </c>
      <c r="D383">
        <f>LOG10(3.891898)</f>
        <v>0.5901614496287817</v>
      </c>
    </row>
    <row r="384" spans="1:4">
      <c r="A384">
        <v>1.1474089999999999</v>
      </c>
      <c r="B384">
        <v>3.8942060000000001</v>
      </c>
      <c r="C384">
        <f>LOG10(1.147409)</f>
        <v>5.9718252061157939E-2</v>
      </c>
      <c r="D384">
        <f>LOG10(3.894206)</f>
        <v>0.59041892157973197</v>
      </c>
    </row>
    <row r="385" spans="1:4">
      <c r="A385">
        <v>1.17435</v>
      </c>
      <c r="B385">
        <v>3.8442349999999998</v>
      </c>
      <c r="C385">
        <f>LOG10(1.17435)</f>
        <v>6.9797552120394721E-2</v>
      </c>
      <c r="D385">
        <f>LOG10(3.844235)</f>
        <v>0.58480992844596635</v>
      </c>
    </row>
    <row r="386" spans="1:4">
      <c r="A386">
        <v>1.167154</v>
      </c>
      <c r="B386">
        <v>3.7221579999999999</v>
      </c>
      <c r="C386">
        <f>LOG10(1.167154)</f>
        <v>6.7128162761473875E-2</v>
      </c>
      <c r="D386">
        <f>LOG10(3.722158)</f>
        <v>0.57079480433256213</v>
      </c>
    </row>
    <row r="387" spans="1:4">
      <c r="A387">
        <v>1.1220250000000001</v>
      </c>
      <c r="B387">
        <v>3.8541859999999999</v>
      </c>
      <c r="C387">
        <f>LOG10(1.122025)</f>
        <v>5.0002533605605602E-2</v>
      </c>
      <c r="D387">
        <f>LOG10(3.854186)</f>
        <v>0.58593266953698542</v>
      </c>
    </row>
    <row r="388" spans="1:4">
      <c r="A388">
        <v>1.1671849999999999</v>
      </c>
      <c r="B388">
        <v>3.8199869999999998</v>
      </c>
      <c r="C388">
        <f>LOG10(1.167185)</f>
        <v>6.7139697614757604E-2</v>
      </c>
      <c r="D388">
        <f>LOG10(3.819987)</f>
        <v>0.5820618849436795</v>
      </c>
    </row>
    <row r="389" spans="1:4">
      <c r="A389">
        <v>1.159867</v>
      </c>
      <c r="B389">
        <v>3.716831</v>
      </c>
      <c r="C389">
        <f>LOG10(1.159867)</f>
        <v>6.4408192263423217E-2</v>
      </c>
      <c r="D389">
        <f>LOG10(3.716831)</f>
        <v>0.57017281467763958</v>
      </c>
    </row>
    <row r="390" spans="1:4">
      <c r="A390">
        <v>1.139853</v>
      </c>
      <c r="B390">
        <v>3.6983329999999999</v>
      </c>
      <c r="C390">
        <f>LOG10(1.139853)</f>
        <v>5.6848846595001765E-2</v>
      </c>
      <c r="D390">
        <f>LOG10(3.698333)</f>
        <v>0.56800601270510176</v>
      </c>
    </row>
    <row r="391" spans="1:4">
      <c r="A391">
        <v>1.1553370000000001</v>
      </c>
      <c r="B391">
        <v>3.6785730000000001</v>
      </c>
      <c r="C391">
        <f>LOG10(1.155337)</f>
        <v>6.2708681970907509E-2</v>
      </c>
      <c r="D391">
        <f>LOG10(3.678573)</f>
        <v>0.56567937888676967</v>
      </c>
    </row>
    <row r="392" spans="1:4">
      <c r="A392">
        <v>1.141869</v>
      </c>
      <c r="B392">
        <v>3.730928</v>
      </c>
      <c r="C392">
        <f>LOG10(1.141869)</f>
        <v>5.7616282683487709E-2</v>
      </c>
      <c r="D392">
        <f>LOG10(3.730928)</f>
        <v>0.57181686804259435</v>
      </c>
    </row>
    <row r="393" spans="1:4">
      <c r="A393">
        <v>1.1231930000000001</v>
      </c>
      <c r="B393">
        <v>3.6685159999999999</v>
      </c>
      <c r="C393">
        <f>LOG10(1.123193)</f>
        <v>5.0454388169947968E-2</v>
      </c>
      <c r="D393">
        <f>LOG10(3.668516)</f>
        <v>0.56449041756277785</v>
      </c>
    </row>
    <row r="394" spans="1:4">
      <c r="A394">
        <v>1.136253</v>
      </c>
      <c r="B394">
        <v>3.746178</v>
      </c>
      <c r="C394">
        <f>LOG10(1.136253)</f>
        <v>5.5475042880607554E-2</v>
      </c>
      <c r="D394">
        <f>LOG10(3.746178)</f>
        <v>0.5735884090726372</v>
      </c>
    </row>
    <row r="395" spans="1:4">
      <c r="A395">
        <v>1.095906</v>
      </c>
      <c r="B395">
        <v>3.7277520000000002</v>
      </c>
      <c r="C395">
        <f>LOG10(1.095906)</f>
        <v>3.9773304666553315E-2</v>
      </c>
      <c r="D395">
        <f>LOG10(3.727752)</f>
        <v>0.57144701188630687</v>
      </c>
    </row>
    <row r="396" spans="1:4">
      <c r="A396">
        <v>1.123086</v>
      </c>
      <c r="B396">
        <v>3.7919360000000002</v>
      </c>
      <c r="C396">
        <f>LOG10(1.123086)</f>
        <v>5.0413013514708054E-2</v>
      </c>
      <c r="D396">
        <f>LOG10(3.791936)</f>
        <v>0.57886099873949914</v>
      </c>
    </row>
    <row r="397" spans="1:4">
      <c r="A397">
        <v>1.1308990000000001</v>
      </c>
      <c r="B397">
        <v>3.5219659999999999</v>
      </c>
      <c r="C397">
        <f>LOG10(1.130899)</f>
        <v>5.3423820043635779E-2</v>
      </c>
      <c r="D397">
        <f>LOG10(3.521966)</f>
        <v>0.54678515910324621</v>
      </c>
    </row>
    <row r="398" spans="1:4">
      <c r="A398">
        <v>1.163883</v>
      </c>
      <c r="B398">
        <v>3.5042879999999998</v>
      </c>
      <c r="C398">
        <f>LOG10(1.163883)</f>
        <v>6.5909324808480912E-2</v>
      </c>
      <c r="D398">
        <f>LOG10(3.504288)</f>
        <v>0.54459979146605653</v>
      </c>
    </row>
    <row r="399" spans="1:4">
      <c r="A399">
        <v>1.157394</v>
      </c>
      <c r="B399">
        <v>3.6080139999999998</v>
      </c>
      <c r="C399">
        <f>LOG10(1.157394)</f>
        <v>6.3481226624689344E-2</v>
      </c>
      <c r="D399">
        <f>LOG10(3.608014)</f>
        <v>0.55726821404477944</v>
      </c>
    </row>
    <row r="400" spans="1:4">
      <c r="A400">
        <v>1.146968</v>
      </c>
      <c r="B400">
        <v>3.5899519999999998</v>
      </c>
      <c r="C400">
        <f>LOG10(1.146968)</f>
        <v>5.9551301408429229E-2</v>
      </c>
      <c r="D400">
        <f>LOG10(3.589952)</f>
        <v>0.55508864181662165</v>
      </c>
    </row>
    <row r="401" spans="1:4">
      <c r="A401">
        <v>1.1494009999999999</v>
      </c>
      <c r="B401">
        <v>3.635983</v>
      </c>
      <c r="C401">
        <f>LOG10(1.149401)</f>
        <v>6.0471570642026226E-2</v>
      </c>
      <c r="D401">
        <f>LOG10(3.635983)</f>
        <v>0.56062184401542714</v>
      </c>
    </row>
    <row r="402" spans="1:4">
      <c r="A402">
        <v>1.1500410000000001</v>
      </c>
      <c r="B402">
        <v>3.5848019999999998</v>
      </c>
      <c r="C402">
        <f>LOG10(1.150041)</f>
        <v>6.0713323620005595E-2</v>
      </c>
      <c r="D402">
        <f>LOG10(3.584802)</f>
        <v>0.55446517320266631</v>
      </c>
    </row>
    <row r="403" spans="1:4">
      <c r="A403">
        <v>1.167826</v>
      </c>
      <c r="B403">
        <v>3.652517</v>
      </c>
      <c r="C403">
        <f>LOG10(1.167826)</f>
        <v>6.737813997746421E-2</v>
      </c>
      <c r="D403">
        <f>LOG10(3.652517)</f>
        <v>0.56259224595856183</v>
      </c>
    </row>
    <row r="404" spans="1:4">
      <c r="A404">
        <v>1.1358349999999999</v>
      </c>
      <c r="B404">
        <v>3.870101</v>
      </c>
      <c r="C404">
        <f>LOG10(1.135835)</f>
        <v>5.5315247049210502E-2</v>
      </c>
      <c r="D404">
        <f>LOG10(3.870101)</f>
        <v>0.5877222991714437</v>
      </c>
    </row>
    <row r="405" spans="1:4">
      <c r="A405">
        <v>1.1587419999999999</v>
      </c>
      <c r="B405">
        <v>3.6853729999999998</v>
      </c>
      <c r="C405">
        <f>LOG10(1.158742)</f>
        <v>6.3986748776847971E-2</v>
      </c>
      <c r="D405">
        <f>LOG10(3.685373)</f>
        <v>0.56648144976462289</v>
      </c>
    </row>
    <row r="406" spans="1:4">
      <c r="A406">
        <v>1.21458</v>
      </c>
      <c r="B406">
        <v>3.7045569999999999</v>
      </c>
      <c r="C406">
        <f>LOG10(1.21458)</f>
        <v>8.4426125492990237E-2</v>
      </c>
      <c r="D406">
        <f>LOG10(3.704557)</f>
        <v>0.56873628142239008</v>
      </c>
    </row>
    <row r="407" spans="1:4">
      <c r="A407">
        <v>1.222038</v>
      </c>
      <c r="B407">
        <v>3.7167979999999998</v>
      </c>
      <c r="C407">
        <f>LOG10(1.222038)</f>
        <v>8.7084710762281234E-2</v>
      </c>
      <c r="D407">
        <f>LOG10(3.716798)</f>
        <v>0.57016895876341445</v>
      </c>
    </row>
    <row r="408" spans="1:4">
      <c r="A408">
        <v>1.19991</v>
      </c>
      <c r="B408">
        <v>3.5835680000000001</v>
      </c>
      <c r="C408">
        <f>LOG10(1.19991)</f>
        <v>7.9148672739967785E-2</v>
      </c>
      <c r="D408">
        <f>LOG10(3.583568)</f>
        <v>0.554315649839346</v>
      </c>
    </row>
    <row r="409" spans="1:4">
      <c r="A409">
        <v>1.1923680000000001</v>
      </c>
      <c r="B409">
        <v>3.7242709999999999</v>
      </c>
      <c r="C409">
        <f>LOG10(1.192368)</f>
        <v>7.6410312203008271E-2</v>
      </c>
      <c r="D409">
        <f>LOG10(3.724271)</f>
        <v>0.57104127529599757</v>
      </c>
    </row>
    <row r="410" spans="1:4">
      <c r="A410">
        <v>1.2069300000000001</v>
      </c>
      <c r="B410">
        <v>3.5416189999999999</v>
      </c>
      <c r="C410">
        <f>LOG10(1.20693)</f>
        <v>8.1682082445891452E-2</v>
      </c>
      <c r="D410">
        <f>LOG10(3.541619)</f>
        <v>0.54920183887056062</v>
      </c>
    </row>
    <row r="411" spans="1:4">
      <c r="A411">
        <v>1.1902729999999999</v>
      </c>
      <c r="B411">
        <v>3.4529839999999998</v>
      </c>
      <c r="C411">
        <f>LOG10(1.190273)</f>
        <v>7.5646582229367057E-2</v>
      </c>
      <c r="D411">
        <f>LOG10(3.452984)</f>
        <v>0.53819456597534199</v>
      </c>
    </row>
    <row r="412" spans="1:4">
      <c r="A412">
        <v>1.1880059999999999</v>
      </c>
      <c r="B412">
        <v>3.3375940000000002</v>
      </c>
      <c r="C412">
        <f>LOG10(1.188006)</f>
        <v>7.4818634046110083E-2</v>
      </c>
      <c r="D412">
        <f>LOG10(3.337594)</f>
        <v>0.52343350601500305</v>
      </c>
    </row>
    <row r="413" spans="1:4">
      <c r="A413">
        <v>1.17239</v>
      </c>
      <c r="B413">
        <v>3.3907240000000001</v>
      </c>
      <c r="C413">
        <f>LOG10(1.17239)</f>
        <v>6.907210543055628E-2</v>
      </c>
      <c r="D413">
        <f>LOG10(3.390724)</f>
        <v>0.53029244027784961</v>
      </c>
    </row>
    <row r="414" spans="1:4">
      <c r="A414">
        <v>1.1778999999999999</v>
      </c>
      <c r="B414">
        <v>3.58995</v>
      </c>
      <c r="C414">
        <f>LOG10(1.1779)</f>
        <v>7.1108421782449679E-2</v>
      </c>
      <c r="D414">
        <f>LOG10(3.58995)</f>
        <v>0.55508839986653269</v>
      </c>
    </row>
    <row r="415" spans="1:4">
      <c r="A415">
        <v>1.188982</v>
      </c>
      <c r="B415">
        <v>3.6577510000000002</v>
      </c>
      <c r="C415">
        <f>LOG10(1.188982)</f>
        <v>7.5175279883748752E-2</v>
      </c>
      <c r="D415">
        <f>LOG10(3.657751)</f>
        <v>0.56321413771593609</v>
      </c>
    </row>
    <row r="416" spans="1:4">
      <c r="A416">
        <v>1.1799949999999999</v>
      </c>
      <c r="B416">
        <v>3.8363390000000002</v>
      </c>
      <c r="C416">
        <f>LOG10(1.179995)</f>
        <v>7.1880167071371029E-2</v>
      </c>
      <c r="D416">
        <f>LOG10(3.836339)</f>
        <v>0.58391697684177823</v>
      </c>
    </row>
    <row r="417" spans="1:4">
      <c r="A417">
        <v>1.1567499999999999</v>
      </c>
      <c r="B417">
        <v>3.7538209999999999</v>
      </c>
      <c r="C417">
        <f>LOG10(1.15675)</f>
        <v>6.3239508171934661E-2</v>
      </c>
      <c r="D417">
        <f>LOG10(3.753821)</f>
        <v>0.57447355955711588</v>
      </c>
    </row>
    <row r="418" spans="1:4">
      <c r="A418">
        <v>1.176269</v>
      </c>
      <c r="B418">
        <v>3.97017</v>
      </c>
      <c r="C418">
        <f>LOG10(1.176269)</f>
        <v>7.0506651549883143E-2</v>
      </c>
      <c r="D418">
        <f>LOG10(3.97017)</f>
        <v>0.59880910335788184</v>
      </c>
    </row>
    <row r="419" spans="1:4">
      <c r="A419">
        <v>1.1977100000000001</v>
      </c>
      <c r="B419">
        <v>3.702216</v>
      </c>
      <c r="C419">
        <f>LOG10(1.19771)</f>
        <v>7.835167561087085E-2</v>
      </c>
      <c r="D419">
        <f>LOG10(3.702216)</f>
        <v>0.56846175338811944</v>
      </c>
    </row>
    <row r="420" spans="1:4">
      <c r="A420">
        <v>1.194105</v>
      </c>
      <c r="B420">
        <v>3.6683530000000002</v>
      </c>
      <c r="C420">
        <f>LOG10(1.194105)</f>
        <v>7.7042516839959801E-2</v>
      </c>
      <c r="D420">
        <f>LOG10(3.668353)</f>
        <v>0.56447112050280268</v>
      </c>
    </row>
    <row r="421" spans="1:4">
      <c r="A421">
        <v>1.178466</v>
      </c>
      <c r="B421">
        <v>3.7984079999999998</v>
      </c>
      <c r="C421">
        <f>LOG10(1.178466)</f>
        <v>7.1317057182455207E-2</v>
      </c>
      <c r="D421">
        <f>LOG10(3.798408)</f>
        <v>0.57960161196283866</v>
      </c>
    </row>
    <row r="422" spans="1:4">
      <c r="A422">
        <v>1.177549</v>
      </c>
      <c r="B422">
        <v>3.7492209999999999</v>
      </c>
      <c r="C422">
        <f>LOG10(1.177549)</f>
        <v>7.0978987976600877E-2</v>
      </c>
      <c r="D422">
        <f>LOG10(3.749221)</f>
        <v>0.57394104091546205</v>
      </c>
    </row>
    <row r="423" spans="1:4">
      <c r="A423">
        <v>1.166507</v>
      </c>
      <c r="B423">
        <v>3.1689020000000001</v>
      </c>
      <c r="C423">
        <f>LOG10(1.166507)</f>
        <v>6.6887349261148935E-2</v>
      </c>
      <c r="D423">
        <f>LOG10(3.168902)</f>
        <v>0.5009088086073632</v>
      </c>
    </row>
    <row r="424" spans="1:4">
      <c r="A424">
        <v>1.0122530000000001</v>
      </c>
      <c r="B424">
        <v>3.7485719999999998</v>
      </c>
      <c r="C424">
        <f>LOG10(1.012253)</f>
        <v>5.2890725548151198E-3</v>
      </c>
      <c r="D424">
        <f>LOG10(3.748572)</f>
        <v>0.57386585689278791</v>
      </c>
    </row>
    <row r="425" spans="1:4">
      <c r="A425">
        <v>1.010985</v>
      </c>
      <c r="B425">
        <v>3.8660160000000001</v>
      </c>
      <c r="C425">
        <f>LOG10(1.010985)</f>
        <v>4.7447120048927016E-3</v>
      </c>
      <c r="D425">
        <f>LOG10(3.866016)</f>
        <v>0.58726364707932455</v>
      </c>
    </row>
    <row r="426" spans="1:4">
      <c r="A426">
        <v>1.012092</v>
      </c>
      <c r="B426">
        <v>3.6928890000000001</v>
      </c>
      <c r="C426">
        <f>LOG10(1.012092)</f>
        <v>5.2199920258204253E-3</v>
      </c>
      <c r="D426">
        <f>LOG10(3.692889)</f>
        <v>0.56736625392447548</v>
      </c>
    </row>
    <row r="427" spans="1:4">
      <c r="A427">
        <v>1.010791</v>
      </c>
      <c r="B427">
        <v>3.7240419999999999</v>
      </c>
      <c r="C427">
        <f>LOG10(1.010791)</f>
        <v>4.6613663427146684E-3</v>
      </c>
      <c r="D427">
        <f>LOG10(3.724042)</f>
        <v>0.57101457033975112</v>
      </c>
    </row>
    <row r="428" spans="1:4">
      <c r="A428">
        <v>1.0120499999999999</v>
      </c>
      <c r="B428">
        <v>4.4038519999999997</v>
      </c>
      <c r="C428">
        <f>LOG10(1.01205)</f>
        <v>5.2019692109758174E-3</v>
      </c>
      <c r="D428">
        <f>LOG10(4.403852)</f>
        <v>0.64383271523537211</v>
      </c>
    </row>
    <row r="429" spans="1:4">
      <c r="A429">
        <v>1.01033</v>
      </c>
      <c r="B429">
        <v>4.2213510000000003</v>
      </c>
      <c r="C429">
        <f>LOG10(1.01033)</f>
        <v>4.4632488033595971E-3</v>
      </c>
      <c r="D429">
        <f>LOG10(4.221351)</f>
        <v>0.62545146469302115</v>
      </c>
    </row>
    <row r="430" spans="1:4">
      <c r="A430">
        <v>1.0137940000000001</v>
      </c>
      <c r="B430">
        <v>4.2500710000000002</v>
      </c>
      <c r="C430">
        <f>LOG10(1.013794)</f>
        <v>5.9497165829813983E-3</v>
      </c>
      <c r="D430">
        <f>LOG10(4.250071)</f>
        <v>0.62839618526223062</v>
      </c>
    </row>
    <row r="431" spans="1:4">
      <c r="A431">
        <v>1.0159629999999999</v>
      </c>
      <c r="B431">
        <v>4.1893140000000004</v>
      </c>
      <c r="C431">
        <f>LOG10(1.015963)</f>
        <v>6.8778918175553417E-3</v>
      </c>
      <c r="D431">
        <f>LOG10(4.189314)</f>
        <v>0.62214291308420921</v>
      </c>
    </row>
    <row r="432" spans="1:4">
      <c r="A432">
        <v>1.013592</v>
      </c>
      <c r="B432">
        <v>4.2601459999999998</v>
      </c>
      <c r="C432">
        <f>LOG10(1.013592)</f>
        <v>5.8631741232477606E-3</v>
      </c>
      <c r="D432">
        <f>LOG10(4.260146)</f>
        <v>0.62942448311864163</v>
      </c>
    </row>
    <row r="433" spans="1:4">
      <c r="A433">
        <v>1.0134259999999999</v>
      </c>
      <c r="B433">
        <v>4.1969799999999999</v>
      </c>
      <c r="C433">
        <f>LOG10(1.013426)</f>
        <v>5.7920421607716962E-3</v>
      </c>
      <c r="D433">
        <f>LOG10(4.19698)</f>
        <v>0.62293689965934962</v>
      </c>
    </row>
    <row r="434" spans="1:4">
      <c r="A434">
        <v>1.016516</v>
      </c>
      <c r="B434">
        <v>4.1810790000000004</v>
      </c>
      <c r="C434">
        <f>LOG10(1.016516)</f>
        <v>7.1142188393044934E-3</v>
      </c>
      <c r="D434">
        <f>LOG10(4.181079)</f>
        <v>0.62128837346764454</v>
      </c>
    </row>
    <row r="435" spans="1:4">
      <c r="A435">
        <v>1.014543</v>
      </c>
      <c r="B435">
        <v>3.9532729999999998</v>
      </c>
      <c r="C435">
        <f>LOG10(1.014543)</f>
        <v>6.2704587296076491E-3</v>
      </c>
      <c r="D435">
        <f>LOG10(3.953273)</f>
        <v>0.5969568063236691</v>
      </c>
    </row>
    <row r="436" spans="1:4">
      <c r="A436">
        <v>1.0111509999999999</v>
      </c>
      <c r="B436">
        <v>4.1312660000000001</v>
      </c>
      <c r="C436">
        <f>LOG10(1.011151)</f>
        <v>4.8160156997557923E-3</v>
      </c>
      <c r="D436">
        <f>LOG10(4.131266)</f>
        <v>0.61608315881416442</v>
      </c>
    </row>
    <row r="437" spans="1:4">
      <c r="A437">
        <v>1.015841</v>
      </c>
      <c r="B437">
        <v>4.1349549999999997</v>
      </c>
      <c r="C437">
        <f>LOG10(1.015841)</f>
        <v>6.8257372525915424E-3</v>
      </c>
      <c r="D437">
        <f>LOG10(4.134955)</f>
        <v>0.61647078756256102</v>
      </c>
    </row>
    <row r="438" spans="1:4">
      <c r="A438">
        <v>1.013126</v>
      </c>
      <c r="B438">
        <v>4.0536560000000001</v>
      </c>
      <c r="C438">
        <f>LOG10(1.013126)</f>
        <v>5.6634608605902201E-3</v>
      </c>
      <c r="D438">
        <f>LOG10(4.053656)</f>
        <v>0.60784689096758504</v>
      </c>
    </row>
    <row r="439" spans="1:4">
      <c r="A439">
        <v>1.012783</v>
      </c>
      <c r="B439">
        <v>4.0541400000000003</v>
      </c>
      <c r="C439">
        <f>LOG10(1.012783)</f>
        <v>5.5164029140426334E-3</v>
      </c>
      <c r="D439">
        <f>LOG10(4.05414)</f>
        <v>0.60789874193410931</v>
      </c>
    </row>
    <row r="440" spans="1:4">
      <c r="A440">
        <v>1.014567</v>
      </c>
      <c r="B440">
        <v>3.930469</v>
      </c>
      <c r="C440">
        <f>LOG10(1.014567)</f>
        <v>6.2807322658537616E-3</v>
      </c>
      <c r="D440">
        <f>LOG10(3.930469)</f>
        <v>0.59444437530145955</v>
      </c>
    </row>
    <row r="441" spans="1:4">
      <c r="A441">
        <v>1.015727</v>
      </c>
      <c r="B441">
        <v>4.0004200000000001</v>
      </c>
      <c r="C441">
        <f>LOG10(1.015727)</f>
        <v>6.776996997784503E-3</v>
      </c>
      <c r="D441">
        <f>LOG10(4.00042)</f>
        <v>0.60210558985468143</v>
      </c>
    </row>
    <row r="442" spans="1:4">
      <c r="A442">
        <v>1.013082</v>
      </c>
      <c r="B442">
        <v>3.9278550000000001</v>
      </c>
      <c r="C442">
        <f>LOG10(1.013082)</f>
        <v>5.6445990683095483E-3</v>
      </c>
      <c r="D442">
        <f>LOG10(3.927855)</f>
        <v>0.59415544707259893</v>
      </c>
    </row>
    <row r="443" spans="1:4">
      <c r="A443">
        <v>1.016289</v>
      </c>
      <c r="B443">
        <v>3.959263</v>
      </c>
      <c r="C443">
        <f>LOG10(1.016289)</f>
        <v>7.0172249340338874E-3</v>
      </c>
      <c r="D443">
        <f>LOG10(3.959263)</f>
        <v>0.59761435137459851</v>
      </c>
    </row>
    <row r="444" spans="1:4">
      <c r="A444">
        <v>1.011239</v>
      </c>
      <c r="B444">
        <v>3.919651</v>
      </c>
      <c r="C444">
        <f>LOG10(1.011239)</f>
        <v>4.853810501383218E-3</v>
      </c>
      <c r="D444">
        <f>LOG10(3.919651)</f>
        <v>0.59324739979552987</v>
      </c>
    </row>
    <row r="445" spans="1:4">
      <c r="A445">
        <v>1.0129049999999999</v>
      </c>
      <c r="B445">
        <v>3.9883850000000001</v>
      </c>
      <c r="C445">
        <f>LOG10(1.012905)</f>
        <v>5.5687149451710584E-3</v>
      </c>
      <c r="D445">
        <f>LOG10(3.988385)</f>
        <v>0.60079707423971263</v>
      </c>
    </row>
    <row r="446" spans="1:4">
      <c r="A446">
        <v>1.012958</v>
      </c>
      <c r="B446">
        <v>3.754394</v>
      </c>
      <c r="C446">
        <f>LOG10(1.012958)</f>
        <v>5.5914387004754977E-3</v>
      </c>
      <c r="D446">
        <f>LOG10(3.754394)</f>
        <v>0.57453984714707262</v>
      </c>
    </row>
    <row r="447" spans="1:4">
      <c r="A447">
        <v>1.016483</v>
      </c>
      <c r="B447">
        <v>3.6292800000000001</v>
      </c>
      <c r="C447">
        <f>LOG10(1.016483)</f>
        <v>7.1001197493353943E-3</v>
      </c>
      <c r="D447">
        <f>LOG10(3.62928)</f>
        <v>0.55982047543780644</v>
      </c>
    </row>
    <row r="448" spans="1:4">
      <c r="A448">
        <v>1.0174780000000001</v>
      </c>
      <c r="B448">
        <v>3.7361339999999998</v>
      </c>
      <c r="C448">
        <f>LOG10(1.017478)</f>
        <v>7.5250276447810125E-3</v>
      </c>
      <c r="D448">
        <f>LOG10(3.736134)</f>
        <v>0.57242244422212019</v>
      </c>
    </row>
    <row r="449" spans="1:4">
      <c r="A449">
        <v>1.0167870000000001</v>
      </c>
      <c r="B449">
        <v>3.6762890000000001</v>
      </c>
      <c r="C449">
        <f>LOG10(1.016787)</f>
        <v>7.2299849649559407E-3</v>
      </c>
      <c r="D449">
        <f>LOG10(3.676289)</f>
        <v>0.56540964476298783</v>
      </c>
    </row>
    <row r="450" spans="1:4">
      <c r="A450">
        <v>1.0181750000000001</v>
      </c>
      <c r="B450">
        <v>3.8470740000000001</v>
      </c>
      <c r="C450">
        <f>LOG10(1.018175)</f>
        <v>7.8224292802421685E-3</v>
      </c>
      <c r="D450">
        <f>LOG10(3.847074)</f>
        <v>0.58513054021442334</v>
      </c>
    </row>
    <row r="451" spans="1:4">
      <c r="A451">
        <v>1.015609</v>
      </c>
      <c r="B451">
        <v>3.6800009999999999</v>
      </c>
      <c r="C451">
        <f>LOG10(1.015609)</f>
        <v>6.7265407966220631E-3</v>
      </c>
      <c r="D451">
        <f>LOG10(3.680001)</f>
        <v>0.56584793668830646</v>
      </c>
    </row>
    <row r="452" spans="1:4">
      <c r="A452">
        <v>1.0174289999999999</v>
      </c>
      <c r="B452">
        <v>3.772125</v>
      </c>
      <c r="C452">
        <f>LOG10(1.017429)</f>
        <v>7.5041122618004106E-3</v>
      </c>
      <c r="D452">
        <f>LOG10(3.772125)</f>
        <v>0.57658607587620136</v>
      </c>
    </row>
    <row r="453" spans="1:4">
      <c r="A453">
        <v>1.0148189999999999</v>
      </c>
      <c r="B453">
        <v>3.9570560000000001</v>
      </c>
      <c r="C453">
        <f>LOG10(1.014819)</f>
        <v>6.3885897261911255E-3</v>
      </c>
      <c r="D453">
        <f>LOG10(3.957056)</f>
        <v>0.597372196416873</v>
      </c>
    </row>
    <row r="454" spans="1:4">
      <c r="A454">
        <v>1.0141579999999999</v>
      </c>
      <c r="B454">
        <v>3.7719969999999998</v>
      </c>
      <c r="C454">
        <f>LOG10(1.014158)</f>
        <v>6.105620857944874E-3</v>
      </c>
      <c r="D454">
        <f>LOG10(3.771997)</f>
        <v>0.57657133865596844</v>
      </c>
    </row>
    <row r="455" spans="1:4">
      <c r="A455">
        <v>1.0208090000000001</v>
      </c>
      <c r="B455">
        <v>3.8129550000000001</v>
      </c>
      <c r="C455">
        <f>LOG10(1.020809)</f>
        <v>8.9444903671994994E-3</v>
      </c>
      <c r="D455">
        <f>LOG10(3.812955)</f>
        <v>0.58126167981681021</v>
      </c>
    </row>
    <row r="456" spans="1:4">
      <c r="A456">
        <v>1.0179199999999999</v>
      </c>
      <c r="B456">
        <v>3.82647</v>
      </c>
      <c r="C456">
        <f>LOG10(1.01792)</f>
        <v>7.7136474272693047E-3</v>
      </c>
      <c r="D456">
        <f>LOG10(3.82647)</f>
        <v>0.58279831275614657</v>
      </c>
    </row>
    <row r="457" spans="1:4">
      <c r="A457">
        <v>1.0178510000000001</v>
      </c>
      <c r="B457">
        <v>3.6772179999999999</v>
      </c>
      <c r="C457">
        <f>LOG10(1.017851)</f>
        <v>7.6842076530876848E-3</v>
      </c>
      <c r="D457">
        <f>LOG10(3.677218)</f>
        <v>0.5655193773234749</v>
      </c>
    </row>
    <row r="458" spans="1:4">
      <c r="A458">
        <v>1.016068</v>
      </c>
      <c r="B458">
        <v>3.8509120000000001</v>
      </c>
      <c r="C458">
        <f>LOG10(1.016068)</f>
        <v>6.9227739287440358E-3</v>
      </c>
      <c r="D458">
        <f>LOG10(3.850912)</f>
        <v>0.58556359435602712</v>
      </c>
    </row>
    <row r="459" spans="1:4">
      <c r="A459">
        <v>1.018116</v>
      </c>
      <c r="B459">
        <v>3.6606079999999999</v>
      </c>
      <c r="C459">
        <f>LOG10(1.018116)</f>
        <v>7.7972625683729166E-3</v>
      </c>
      <c r="D459">
        <f>LOG10(3.660608)</f>
        <v>0.56355322449695633</v>
      </c>
    </row>
    <row r="460" spans="1:4">
      <c r="A460">
        <v>1.015609</v>
      </c>
      <c r="B460">
        <v>3.5956100000000002</v>
      </c>
      <c r="C460">
        <f>LOG10(1.015609)</f>
        <v>6.7265407966220631E-3</v>
      </c>
      <c r="D460">
        <f>LOG10(3.59561)</f>
        <v>0.55577257960365989</v>
      </c>
    </row>
    <row r="461" spans="1:4">
      <c r="A461">
        <v>1.0178100000000001</v>
      </c>
      <c r="B461">
        <v>3.4741770000000001</v>
      </c>
      <c r="C461">
        <f>LOG10(1.01781)</f>
        <v>7.6667135086693145E-3</v>
      </c>
      <c r="D461">
        <f>LOG10(3.474177)</f>
        <v>0.54085194081375698</v>
      </c>
    </row>
    <row r="462" spans="1:4">
      <c r="A462">
        <v>1.016537</v>
      </c>
      <c r="B462">
        <v>3.6184720000000001</v>
      </c>
      <c r="C462">
        <f>LOG10(1.016537)</f>
        <v>7.1231907491566358E-3</v>
      </c>
      <c r="D462">
        <f>LOG10(3.618472)</f>
        <v>0.55852521637272823</v>
      </c>
    </row>
    <row r="463" spans="1:4">
      <c r="A463">
        <v>1.015004</v>
      </c>
      <c r="B463">
        <v>3.79461</v>
      </c>
      <c r="C463">
        <f>LOG10(1.015004)</f>
        <v>6.4677537512067163E-3</v>
      </c>
      <c r="D463">
        <f>LOG10(3.79461)</f>
        <v>0.57916714688457061</v>
      </c>
    </row>
    <row r="464" spans="1:4">
      <c r="A464">
        <v>1.0182169999999999</v>
      </c>
      <c r="B464">
        <v>4.0274510000000001</v>
      </c>
      <c r="C464">
        <f>LOG10(1.018217)</f>
        <v>7.8403436781011946E-3</v>
      </c>
      <c r="D464">
        <f>LOG10(4.027451)</f>
        <v>0.60503026527770709</v>
      </c>
    </row>
    <row r="465" spans="1:4">
      <c r="A465">
        <v>1.0124709999999999</v>
      </c>
      <c r="B465">
        <v>4.1161649999999996</v>
      </c>
      <c r="C465">
        <f>LOG10(1.012471)</f>
        <v>5.3825926567358587E-3</v>
      </c>
      <c r="D465">
        <f>LOG10(4.116165)</f>
        <v>0.61449277550566417</v>
      </c>
    </row>
    <row r="466" spans="1:4">
      <c r="A466">
        <v>1.0159039999999999</v>
      </c>
      <c r="B466">
        <v>4.0998020000000004</v>
      </c>
      <c r="C466">
        <f>LOG10(1.015904)</f>
        <v>6.8526703100063669E-3</v>
      </c>
      <c r="D466">
        <f>LOG10(4.099802)</f>
        <v>0.61276288296758064</v>
      </c>
    </row>
    <row r="467" spans="1:4">
      <c r="A467">
        <v>1.013131</v>
      </c>
      <c r="B467">
        <v>4.3382319999999996</v>
      </c>
      <c r="C467">
        <f>LOG10(1.013131)</f>
        <v>5.6656041942438826E-3</v>
      </c>
      <c r="D467">
        <f>LOG10(4.338232)</f>
        <v>0.6373127735024321</v>
      </c>
    </row>
    <row r="468" spans="1:4">
      <c r="A468">
        <v>1.015547</v>
      </c>
      <c r="B468">
        <v>4.0719180000000001</v>
      </c>
      <c r="C468">
        <f>LOG10(1.015547)</f>
        <v>6.7000275619061005E-3</v>
      </c>
      <c r="D468">
        <f>LOG10(4.071918)</f>
        <v>0.60979902362484895</v>
      </c>
    </row>
    <row r="469" spans="1:4">
      <c r="A469">
        <v>1.019398</v>
      </c>
      <c r="B469">
        <v>3.9722849999999998</v>
      </c>
      <c r="C469">
        <f>LOG10(1.019398)</f>
        <v>8.3437771928345662E-3</v>
      </c>
      <c r="D469">
        <f>LOG10(3.972285)</f>
        <v>0.59904040031856631</v>
      </c>
    </row>
    <row r="470" spans="1:4">
      <c r="A470">
        <v>1.012829</v>
      </c>
      <c r="B470">
        <v>4.1429109999999998</v>
      </c>
      <c r="C470">
        <f>LOG10(1.012829)</f>
        <v>5.5361278625233688E-3</v>
      </c>
      <c r="D470">
        <f>LOG10(4.142911)</f>
        <v>0.61730560367626641</v>
      </c>
    </row>
    <row r="471" spans="1:4">
      <c r="A471">
        <v>1.014872</v>
      </c>
      <c r="B471">
        <v>4.1063980000000004</v>
      </c>
      <c r="C471">
        <f>LOG10(1.014872)</f>
        <v>6.4112706244619849E-3</v>
      </c>
      <c r="D471">
        <f>LOG10(4.106398)</f>
        <v>0.61346103973186683</v>
      </c>
    </row>
    <row r="472" spans="1:4">
      <c r="A472">
        <v>1.190779</v>
      </c>
      <c r="B472">
        <v>3.7466789999999999</v>
      </c>
      <c r="C472">
        <f>LOG10(1.190779)</f>
        <v>7.5831167035705749E-2</v>
      </c>
      <c r="D472">
        <f>LOG10(3.746679)</f>
        <v>0.57364648612809355</v>
      </c>
    </row>
    <row r="473" spans="1:4">
      <c r="A473">
        <v>1.186283</v>
      </c>
      <c r="B473">
        <v>3.8453170000000001</v>
      </c>
      <c r="C473">
        <f>LOG10(1.186283)</f>
        <v>7.4188306799784248E-2</v>
      </c>
      <c r="D473">
        <f>LOG10(3.845317)</f>
        <v>0.58493214795433834</v>
      </c>
    </row>
    <row r="474" spans="1:4">
      <c r="A474">
        <v>1.2117830000000001</v>
      </c>
      <c r="B474">
        <v>3.452718</v>
      </c>
      <c r="C474">
        <f>LOG10(1.211783)</f>
        <v>8.3424855523128699E-2</v>
      </c>
      <c r="D474">
        <f>LOG10(3.452718)</f>
        <v>0.53816110888951829</v>
      </c>
    </row>
    <row r="475" spans="1:4">
      <c r="A475">
        <v>1.2255560000000001</v>
      </c>
      <c r="B475">
        <v>3.7421549999999999</v>
      </c>
      <c r="C475">
        <f>LOG10(1.225556)</f>
        <v>8.8333160496569529E-2</v>
      </c>
      <c r="D475">
        <f>LOG10(3.742155)</f>
        <v>0.57312177200700798</v>
      </c>
    </row>
    <row r="476" spans="1:4">
      <c r="A476">
        <v>1.1809419999999999</v>
      </c>
      <c r="B476">
        <v>3.7623280000000001</v>
      </c>
      <c r="C476">
        <f>LOG10(1.180942)</f>
        <v>7.2228568486927033E-2</v>
      </c>
      <c r="D476">
        <f>LOG10(3.762328)</f>
        <v>0.57545665468606266</v>
      </c>
    </row>
    <row r="477" spans="1:4">
      <c r="A477">
        <v>1.1553279999999999</v>
      </c>
      <c r="B477">
        <v>4.2724700000000002</v>
      </c>
      <c r="C477">
        <f>LOG10(1.155328)</f>
        <v>6.2705298831995368E-2</v>
      </c>
      <c r="D477">
        <f>LOG10(4.27247)</f>
        <v>0.63067902191818126</v>
      </c>
    </row>
    <row r="478" spans="1:4">
      <c r="A478">
        <v>1.1732290000000001</v>
      </c>
      <c r="B478">
        <v>3.9548160000000001</v>
      </c>
      <c r="C478">
        <f>LOG10(1.173229)</f>
        <v>6.9382789378679338E-2</v>
      </c>
      <c r="D478">
        <f>LOG10(3.954816)</f>
        <v>0.59712628251294342</v>
      </c>
    </row>
    <row r="479" spans="1:4">
      <c r="A479">
        <v>1.1568149999999999</v>
      </c>
      <c r="B479">
        <v>4.0228149999999996</v>
      </c>
      <c r="C479">
        <f>LOG10(1.156815)</f>
        <v>6.3263911325795591E-2</v>
      </c>
      <c r="D479">
        <f>LOG10(4.022815)</f>
        <v>0.60453006082715177</v>
      </c>
    </row>
    <row r="480" spans="1:4">
      <c r="A480">
        <v>1.1457550000000001</v>
      </c>
      <c r="B480">
        <v>4.0051909999999999</v>
      </c>
      <c r="C480">
        <f>LOG10(1.145755)</f>
        <v>5.9091761153718357E-2</v>
      </c>
      <c r="D480">
        <f>LOG10(4.005191)</f>
        <v>0.60262323159831932</v>
      </c>
    </row>
    <row r="481" spans="1:4">
      <c r="A481">
        <v>1.1626559999999999</v>
      </c>
      <c r="B481">
        <v>4.0171229999999998</v>
      </c>
      <c r="C481">
        <f>LOG10(1.162656)</f>
        <v>6.5451237169545193E-2</v>
      </c>
      <c r="D481">
        <f>LOG10(4.017123)</f>
        <v>0.60391512956673776</v>
      </c>
    </row>
    <row r="482" spans="1:4">
      <c r="A482">
        <v>1.140139</v>
      </c>
      <c r="B482">
        <v>3.8396659999999998</v>
      </c>
      <c r="C482">
        <f>LOG10(1.140139)</f>
        <v>5.6957801558419008E-2</v>
      </c>
      <c r="D482">
        <f>LOG10(3.839666)</f>
        <v>0.58429344815251127</v>
      </c>
    </row>
    <row r="483" spans="1:4">
      <c r="A483">
        <v>1.171467</v>
      </c>
      <c r="B483">
        <v>3.9352399999999998</v>
      </c>
      <c r="C483">
        <f>LOG10(1.171467)</f>
        <v>6.8730059113295897E-2</v>
      </c>
      <c r="D483">
        <f>LOG10(3.93524)</f>
        <v>0.59497122398789504</v>
      </c>
    </row>
    <row r="484" spans="1:4">
      <c r="A484">
        <v>1.1512199999999999</v>
      </c>
      <c r="B484">
        <v>3.7610109999999999</v>
      </c>
      <c r="C484">
        <f>LOG10(1.15122)</f>
        <v>6.1158325937398811E-2</v>
      </c>
      <c r="D484">
        <f>LOG10(3.761011)</f>
        <v>0.57530460362508851</v>
      </c>
    </row>
    <row r="485" spans="1:4">
      <c r="A485">
        <v>1.1737869999999999</v>
      </c>
      <c r="B485">
        <v>3.8373840000000001</v>
      </c>
      <c r="C485">
        <f>LOG10(1.173787)</f>
        <v>6.9589295278483954E-2</v>
      </c>
      <c r="D485">
        <f>LOG10(3.837384)</f>
        <v>0.58403526042756682</v>
      </c>
    </row>
    <row r="486" spans="1:4">
      <c r="A486">
        <v>1.1007800000000001</v>
      </c>
      <c r="B486">
        <v>3.5677370000000002</v>
      </c>
      <c r="C486">
        <f>LOG10(1.10078)</f>
        <v>4.1700530295011459E-2</v>
      </c>
      <c r="D486">
        <f>LOG10(3.567737)</f>
        <v>0.55239283234686887</v>
      </c>
    </row>
    <row r="487" spans="1:4">
      <c r="A487">
        <v>1.0889679999999999</v>
      </c>
      <c r="B487">
        <v>3.7023130000000002</v>
      </c>
      <c r="C487">
        <f>LOG10(1.088968)</f>
        <v>3.7015117930604031E-2</v>
      </c>
      <c r="D487">
        <f>LOG10(3.702313)</f>
        <v>0.5684731319821521</v>
      </c>
    </row>
    <row r="488" spans="1:4">
      <c r="A488">
        <v>1.09371</v>
      </c>
      <c r="B488">
        <v>3.490637</v>
      </c>
      <c r="C488">
        <f>LOG10(1.09371)</f>
        <v>3.8902182970310888E-2</v>
      </c>
      <c r="D488">
        <f>LOG10(3.490637)</f>
        <v>0.54290468780191969</v>
      </c>
    </row>
    <row r="489" spans="1:4">
      <c r="A489">
        <v>1.0913379999999999</v>
      </c>
      <c r="B489">
        <v>3.7019250000000001</v>
      </c>
      <c r="C489">
        <f>LOG10(1.091338)</f>
        <v>3.7959277445370435E-2</v>
      </c>
      <c r="D489">
        <f>LOG10(3.701925)</f>
        <v>0.56842761581718482</v>
      </c>
    </row>
    <row r="490" spans="1:4">
      <c r="A490">
        <v>1.1314580000000001</v>
      </c>
      <c r="B490">
        <v>3.6804480000000002</v>
      </c>
      <c r="C490">
        <f>LOG10(1.131458)</f>
        <v>5.3638437471676063E-2</v>
      </c>
      <c r="D490">
        <f>LOG10(3.680448)</f>
        <v>0.56590068608814592</v>
      </c>
    </row>
    <row r="491" spans="1:4">
      <c r="A491">
        <v>1.15313</v>
      </c>
      <c r="B491">
        <v>3.5440330000000002</v>
      </c>
      <c r="C491">
        <f>LOG10(1.15313)</f>
        <v>6.1878270954776486E-2</v>
      </c>
      <c r="D491">
        <f>LOG10(3.544033)</f>
        <v>0.54949775713464588</v>
      </c>
    </row>
    <row r="492" spans="1:4">
      <c r="A492">
        <v>1.1529119999999999</v>
      </c>
      <c r="B492">
        <v>3.6362619999999999</v>
      </c>
      <c r="C492">
        <f>LOG10(1.152912)</f>
        <v>6.1796159529800734E-2</v>
      </c>
      <c r="D492">
        <f>LOG10(3.636262)</f>
        <v>0.56065516746932897</v>
      </c>
    </row>
    <row r="493" spans="1:4">
      <c r="A493">
        <v>1.1529309999999999</v>
      </c>
      <c r="B493">
        <v>3.7246939999999999</v>
      </c>
      <c r="C493">
        <f>LOG10(1.152931)</f>
        <v>6.180331664774532E-2</v>
      </c>
      <c r="D493">
        <f>LOG10(3.724694)</f>
        <v>0.57109059934733686</v>
      </c>
    </row>
    <row r="494" spans="1:4">
      <c r="A494">
        <v>1.1392910000000001</v>
      </c>
      <c r="B494">
        <v>3.5668570000000002</v>
      </c>
      <c r="C494">
        <f>LOG10(1.139291)</f>
        <v>5.6634666618855939E-2</v>
      </c>
      <c r="D494">
        <f>LOG10(3.566857)</f>
        <v>0.55228569824897544</v>
      </c>
    </row>
    <row r="495" spans="1:4">
      <c r="A495">
        <v>1.1522600000000001</v>
      </c>
      <c r="B495">
        <v>3.7047970000000001</v>
      </c>
      <c r="C495">
        <f>LOG10(1.15226)</f>
        <v>6.1550485879633396E-2</v>
      </c>
      <c r="D495">
        <f>LOG10(3.704797)</f>
        <v>0.56876441631125985</v>
      </c>
    </row>
    <row r="496" spans="1:4">
      <c r="A496">
        <v>1.159138</v>
      </c>
      <c r="B496">
        <v>3.612959</v>
      </c>
      <c r="C496">
        <f>LOG10(1.159138)</f>
        <v>6.4135143531112201E-2</v>
      </c>
      <c r="D496">
        <f>LOG10(3.612959)</f>
        <v>0.55786303320522412</v>
      </c>
    </row>
    <row r="497" spans="1:4">
      <c r="A497">
        <v>1.155592</v>
      </c>
      <c r="B497">
        <v>3.7293340000000001</v>
      </c>
      <c r="C497">
        <f>LOG10(1.155592)</f>
        <v>6.2804526623283036E-2</v>
      </c>
      <c r="D497">
        <f>LOG10(3.729334)</f>
        <v>0.57163128061558754</v>
      </c>
    </row>
    <row r="498" spans="1:4">
      <c r="A498">
        <v>1.1541619999999999</v>
      </c>
      <c r="B498">
        <v>3.6966909999999999</v>
      </c>
      <c r="C498">
        <f>LOG10(1.154162)</f>
        <v>6.2266771357163471E-2</v>
      </c>
      <c r="D498">
        <f>LOG10(3.696691)</f>
        <v>0.56781315016645295</v>
      </c>
    </row>
    <row r="499" spans="1:4">
      <c r="A499">
        <v>1.175071</v>
      </c>
      <c r="B499">
        <v>3.5859009999999998</v>
      </c>
      <c r="C499">
        <f>LOG10(1.175071)</f>
        <v>7.006410829000595E-2</v>
      </c>
      <c r="D499">
        <f>LOG10(3.585901)</f>
        <v>0.55459829533569815</v>
      </c>
    </row>
    <row r="500" spans="1:4">
      <c r="A500">
        <v>1.1647799999999999</v>
      </c>
      <c r="B500">
        <v>3.6630050000000001</v>
      </c>
      <c r="C500">
        <f>LOG10(1.16478)</f>
        <v>6.6243904925513519E-2</v>
      </c>
      <c r="D500">
        <f>LOG10(3.663005)</f>
        <v>0.56383751147670091</v>
      </c>
    </row>
    <row r="501" spans="1:4">
      <c r="A501">
        <v>1.1359269999999999</v>
      </c>
      <c r="B501">
        <v>3.5970040000000001</v>
      </c>
      <c r="C501">
        <f>LOG10(1.135927)</f>
        <v>5.5350422470189405E-2</v>
      </c>
      <c r="D501">
        <f>LOG10(3.597004)</f>
        <v>0.5559409207701268</v>
      </c>
    </row>
    <row r="502" spans="1:4">
      <c r="A502">
        <v>1.1960729999999999</v>
      </c>
      <c r="B502">
        <v>3.7004619999999999</v>
      </c>
      <c r="C502">
        <f>LOG10(1.196073)</f>
        <v>7.7757686784230201E-2</v>
      </c>
      <c r="D502">
        <f>LOG10(3.700462)</f>
        <v>0.56825594880347763</v>
      </c>
    </row>
    <row r="503" spans="1:4">
      <c r="A503">
        <v>1.1366069999999999</v>
      </c>
      <c r="B503">
        <v>3.8037239999999999</v>
      </c>
      <c r="C503">
        <f>LOG10(1.136607)</f>
        <v>5.5610326398146601E-2</v>
      </c>
      <c r="D503">
        <f>LOG10(3.803724)</f>
        <v>0.58020899679701654</v>
      </c>
    </row>
    <row r="504" spans="1:4">
      <c r="A504">
        <v>1.194143</v>
      </c>
      <c r="B504">
        <v>3.6833429999999998</v>
      </c>
      <c r="C504">
        <f>LOG10(1.194143)</f>
        <v>7.7056337172114339E-2</v>
      </c>
      <c r="D504">
        <f>LOG10(3.683343)</f>
        <v>0.56624216307734476</v>
      </c>
    </row>
    <row r="505" spans="1:4">
      <c r="A505">
        <v>1.1495740000000001</v>
      </c>
      <c r="B505">
        <v>3.5606520000000002</v>
      </c>
      <c r="C505">
        <f>LOG10(1.149574)</f>
        <v>6.0536932766895937E-2</v>
      </c>
      <c r="D505">
        <f>LOG10(3.560652)</f>
        <v>0.5515295300165679</v>
      </c>
    </row>
    <row r="506" spans="1:4">
      <c r="A506">
        <v>1.222256</v>
      </c>
      <c r="B506">
        <v>3.6318570000000001</v>
      </c>
      <c r="C506">
        <f>LOG10(1.222256)</f>
        <v>8.7162177873280122E-2</v>
      </c>
      <c r="D506">
        <f>LOG10(3.631857)</f>
        <v>0.56012874036294247</v>
      </c>
    </row>
    <row r="507" spans="1:4">
      <c r="A507">
        <v>1.132045</v>
      </c>
      <c r="B507">
        <v>3.6391979999999999</v>
      </c>
      <c r="C507">
        <f>LOG10(1.132045)</f>
        <v>5.3863690865722506E-2</v>
      </c>
      <c r="D507">
        <f>LOG10(3.639198)</f>
        <v>0.56100568514603522</v>
      </c>
    </row>
    <row r="508" spans="1:4">
      <c r="A508">
        <v>1.1625270000000001</v>
      </c>
      <c r="B508">
        <v>3.513916</v>
      </c>
      <c r="C508">
        <f>LOG10(1.162527)</f>
        <v>6.5403048284435578E-2</v>
      </c>
      <c r="D508">
        <f>LOG10(3.513916)</f>
        <v>0.54579137549379197</v>
      </c>
    </row>
    <row r="509" spans="1:4">
      <c r="A509">
        <v>1.1844870000000001</v>
      </c>
      <c r="B509">
        <v>3.6887759999999998</v>
      </c>
      <c r="C509">
        <f>LOG10(1.184487)</f>
        <v>7.3530298609440964E-2</v>
      </c>
      <c r="D509">
        <f>LOG10(3.688776)</f>
        <v>0.56688228360370829</v>
      </c>
    </row>
    <row r="510" spans="1:4">
      <c r="A510">
        <v>1.123016</v>
      </c>
      <c r="B510">
        <v>3.663999</v>
      </c>
      <c r="C510">
        <f>LOG10(1.123016)</f>
        <v>5.0385943850246626E-2</v>
      </c>
      <c r="D510">
        <f>LOG10(3.663999)</f>
        <v>0.56395534646564327</v>
      </c>
    </row>
    <row r="511" spans="1:4">
      <c r="A511">
        <v>1.1669430000000001</v>
      </c>
      <c r="B511">
        <v>3.6454360000000001</v>
      </c>
      <c r="C511">
        <f>LOG10(1.166943)</f>
        <v>6.7049643200434897E-2</v>
      </c>
      <c r="D511">
        <f>LOG10(3.645436)</f>
        <v>0.56174947807792575</v>
      </c>
    </row>
    <row r="512" spans="1:4">
      <c r="A512">
        <v>1.184569</v>
      </c>
      <c r="B512">
        <v>3.4944929999999998</v>
      </c>
      <c r="C512">
        <f>LOG10(1.184569)</f>
        <v>7.3560363029640613E-2</v>
      </c>
      <c r="D512">
        <f>LOG10(3.494493)</f>
        <v>0.54338417485293433</v>
      </c>
    </row>
    <row r="513" spans="1:4">
      <c r="A513">
        <v>1.1652530000000001</v>
      </c>
      <c r="B513">
        <v>3.6988560000000001</v>
      </c>
      <c r="C513">
        <f>LOG10(1.165253)</f>
        <v>6.6420229718134133E-2</v>
      </c>
      <c r="D513">
        <f>LOG10(3.698856)</f>
        <v>0.56806742414515399</v>
      </c>
    </row>
    <row r="514" spans="1:4">
      <c r="A514">
        <v>1.212742</v>
      </c>
      <c r="B514">
        <v>3.542815</v>
      </c>
      <c r="C514">
        <f>LOG10(1.212742)</f>
        <v>8.3768418431216241E-2</v>
      </c>
      <c r="D514">
        <f>LOG10(3.542815)</f>
        <v>0.54934847477832427</v>
      </c>
    </row>
    <row r="515" spans="1:4">
      <c r="A515">
        <v>1.222491</v>
      </c>
      <c r="B515">
        <v>3.6669719999999999</v>
      </c>
      <c r="C515">
        <f>LOG10(1.222491)</f>
        <v>8.7245670523899269E-2</v>
      </c>
      <c r="D515">
        <f>LOG10(3.666972)</f>
        <v>0.56430759381881945</v>
      </c>
    </row>
    <row r="516" spans="1:4">
      <c r="A516">
        <v>1.2246630000000001</v>
      </c>
      <c r="B516">
        <v>3.5539839999999998</v>
      </c>
      <c r="C516">
        <f>LOG10(1.224663)</f>
        <v>8.801659696530062E-2</v>
      </c>
      <c r="D516">
        <f>LOG10(3.553984)</f>
        <v>0.5507154682843215</v>
      </c>
    </row>
    <row r="517" spans="1:4">
      <c r="A517">
        <v>1.2284409999999999</v>
      </c>
      <c r="B517">
        <v>3.5479340000000001</v>
      </c>
      <c r="C517">
        <f>LOG10(1.228441)</f>
        <v>8.9354302867587915E-2</v>
      </c>
      <c r="D517">
        <f>LOG10(3.547934)</f>
        <v>0.54997553232586471</v>
      </c>
    </row>
    <row r="518" spans="1:4">
      <c r="A518">
        <v>1.178936</v>
      </c>
      <c r="B518">
        <v>3.5597219999999998</v>
      </c>
      <c r="C518">
        <f>LOG10(1.178936)</f>
        <v>7.1490229521495419E-2</v>
      </c>
      <c r="D518">
        <f>LOG10(3.559722)</f>
        <v>0.55141608264134101</v>
      </c>
    </row>
    <row r="519" spans="1:4">
      <c r="A519">
        <v>1.1973609999999999</v>
      </c>
      <c r="B519">
        <v>3.1844290000000002</v>
      </c>
      <c r="C519">
        <f>LOG10(1.197361)</f>
        <v>7.8225108360666526E-2</v>
      </c>
      <c r="D519">
        <f>LOG10(3.184429)</f>
        <v>0.50303157030380918</v>
      </c>
    </row>
    <row r="520" spans="1:4">
      <c r="A520">
        <v>1.0166850000000001</v>
      </c>
      <c r="B520">
        <v>4.104101</v>
      </c>
      <c r="C520">
        <f>LOG10(1.016685)</f>
        <v>7.1864160963496316E-3</v>
      </c>
      <c r="D520">
        <f>LOG10(4.104101)</f>
        <v>0.61321804001870495</v>
      </c>
    </row>
    <row r="521" spans="1:4">
      <c r="A521">
        <v>1.0142709999999999</v>
      </c>
      <c r="B521">
        <v>4.0391209999999997</v>
      </c>
      <c r="C521">
        <f>LOG10(1.014271)</f>
        <v>6.1540083307189738E-3</v>
      </c>
      <c r="D521">
        <f>LOG10(4.039121)</f>
        <v>0.60628686353027228</v>
      </c>
    </row>
    <row r="522" spans="1:4">
      <c r="A522">
        <v>1.017361</v>
      </c>
      <c r="B522">
        <v>3.9287230000000002</v>
      </c>
      <c r="C522">
        <f>LOG10(1.017361)</f>
        <v>7.475085163396746E-3</v>
      </c>
      <c r="D522">
        <f>LOG10(3.928723)</f>
        <v>0.59425140936351628</v>
      </c>
    </row>
    <row r="523" spans="1:4">
      <c r="A523">
        <v>1.0181979999999999</v>
      </c>
      <c r="B523">
        <v>4.0243549999999999</v>
      </c>
      <c r="C523">
        <f>LOG10(1.018198)</f>
        <v>7.832239637268262E-3</v>
      </c>
      <c r="D523">
        <f>LOG10(4.024355)</f>
        <v>0.60469628411069021</v>
      </c>
    </row>
    <row r="524" spans="1:4">
      <c r="A524">
        <v>1.014553</v>
      </c>
      <c r="B524">
        <v>4.0510970000000004</v>
      </c>
      <c r="C524">
        <f>LOG10(1.014553)</f>
        <v>6.2747393992448634E-3</v>
      </c>
      <c r="D524">
        <f>LOG10(4.051097)</f>
        <v>0.6075726421123463</v>
      </c>
    </row>
    <row r="525" spans="1:4">
      <c r="A525">
        <v>1.0124550000000001</v>
      </c>
      <c r="B525">
        <v>4.7053229999999999</v>
      </c>
      <c r="C525">
        <f>LOG10(1.012455)</f>
        <v>5.3757294807871992E-3</v>
      </c>
      <c r="D525">
        <f>LOG10(4.705323)</f>
        <v>0.6725894412176513</v>
      </c>
    </row>
    <row r="526" spans="1:4">
      <c r="A526">
        <v>1.016491</v>
      </c>
      <c r="B526">
        <v>4.3278100000000004</v>
      </c>
      <c r="C526">
        <f>LOG10(1.016491)</f>
        <v>7.1035377525712909E-3</v>
      </c>
      <c r="D526">
        <f>LOG10(4.32781)</f>
        <v>0.6362681860719771</v>
      </c>
    </row>
    <row r="527" spans="1:4">
      <c r="A527">
        <v>1.011031</v>
      </c>
      <c r="B527">
        <v>4.3171730000000004</v>
      </c>
      <c r="C527">
        <f>LOG10(1.011031)</f>
        <v>4.764472032677834E-3</v>
      </c>
      <c r="D527">
        <f>LOG10(4.317173)</f>
        <v>0.63519945227914609</v>
      </c>
    </row>
    <row r="528" spans="1:4">
      <c r="A528">
        <v>1.013039</v>
      </c>
      <c r="B528">
        <v>4.365075</v>
      </c>
      <c r="C528">
        <f>LOG10(1.013039)</f>
        <v>5.6261651616231756E-3</v>
      </c>
      <c r="D528">
        <f>LOG10(4.365075)</f>
        <v>0.63999171008198186</v>
      </c>
    </row>
    <row r="529" spans="1:4">
      <c r="A529">
        <v>1.0141169999999999</v>
      </c>
      <c r="B529">
        <v>4.3409060000000004</v>
      </c>
      <c r="C529">
        <f>LOG10(1.014117)</f>
        <v>6.0880630082840144E-3</v>
      </c>
      <c r="D529">
        <f>LOG10(4.340906)</f>
        <v>0.63758038152556862</v>
      </c>
    </row>
    <row r="530" spans="1:4">
      <c r="A530">
        <v>1.012445</v>
      </c>
      <c r="B530">
        <v>4.1723860000000004</v>
      </c>
      <c r="C530">
        <f>LOG10(1.012445)</f>
        <v>5.3714399407416699E-3</v>
      </c>
      <c r="D530">
        <f>LOG10(4.172386)</f>
        <v>0.62038447950412001</v>
      </c>
    </row>
    <row r="531" spans="1:4">
      <c r="A531">
        <v>1.0124649999999999</v>
      </c>
      <c r="B531">
        <v>4.3126090000000001</v>
      </c>
      <c r="C531">
        <f>LOG10(1.012465)</f>
        <v>5.3800189784651321E-3</v>
      </c>
      <c r="D531">
        <f>LOG10(4.312609)</f>
        <v>0.63474008489299283</v>
      </c>
    </row>
    <row r="532" spans="1:4">
      <c r="A532">
        <v>1.0112220000000001</v>
      </c>
      <c r="B532">
        <v>4.1087220000000002</v>
      </c>
      <c r="C532">
        <f>LOG10(1.011222)</f>
        <v>4.8465094892079516E-3</v>
      </c>
      <c r="D532">
        <f>LOG10(4.108722)</f>
        <v>0.61370675748227521</v>
      </c>
    </row>
    <row r="533" spans="1:4">
      <c r="A533">
        <v>1.01417</v>
      </c>
      <c r="B533">
        <v>4.0151770000000004</v>
      </c>
      <c r="C533">
        <f>LOG10(1.01417)</f>
        <v>6.1107596064933862E-3</v>
      </c>
      <c r="D533">
        <f>LOG10(4.015177)</f>
        <v>0.60370469492701595</v>
      </c>
    </row>
    <row r="534" spans="1:4">
      <c r="A534">
        <v>1.0128299999999999</v>
      </c>
      <c r="B534">
        <v>3.8957839999999999</v>
      </c>
      <c r="C534">
        <f>LOG10(1.01283)</f>
        <v>5.5365566558018692E-3</v>
      </c>
      <c r="D534">
        <f>LOG10(3.895784)</f>
        <v>0.59059486961094043</v>
      </c>
    </row>
    <row r="535" spans="1:4">
      <c r="A535">
        <v>1.0110239999999999</v>
      </c>
      <c r="B535">
        <v>4.0509139999999997</v>
      </c>
      <c r="C535">
        <f>LOG10(1.011024)</f>
        <v>4.7614651299245714E-3</v>
      </c>
      <c r="D535">
        <f>LOG10(4.050914)</f>
        <v>0.60755302330654559</v>
      </c>
    </row>
    <row r="536" spans="1:4">
      <c r="A536">
        <v>1.0105329999999999</v>
      </c>
      <c r="B536">
        <v>3.7423660000000001</v>
      </c>
      <c r="C536">
        <f>LOG10(1.010533)</f>
        <v>4.5505004182616222E-3</v>
      </c>
      <c r="D536">
        <f>LOG10(3.742366)</f>
        <v>0.57314625884743664</v>
      </c>
    </row>
    <row r="537" spans="1:4">
      <c r="A537">
        <v>1.0102340000000001</v>
      </c>
      <c r="B537">
        <v>3.842632</v>
      </c>
      <c r="C537">
        <f>LOG10(1.010234)</f>
        <v>4.4219808501603629E-3</v>
      </c>
      <c r="D537">
        <f>LOG10(3.842632)</f>
        <v>0.58462879507535315</v>
      </c>
    </row>
    <row r="538" spans="1:4">
      <c r="A538">
        <v>1.010499</v>
      </c>
      <c r="B538">
        <v>3.8859530000000002</v>
      </c>
      <c r="C538">
        <f>LOG10(1.010499)</f>
        <v>4.5358880693368697E-3</v>
      </c>
      <c r="D538">
        <f>LOG10(3.885953)</f>
        <v>0.58949754357099793</v>
      </c>
    </row>
    <row r="539" spans="1:4">
      <c r="A539">
        <v>1.0108600000000001</v>
      </c>
      <c r="B539">
        <v>3.931209</v>
      </c>
      <c r="C539">
        <f>LOG10(1.01086)</f>
        <v>4.6910117357750955E-3</v>
      </c>
      <c r="D539">
        <f>LOG10(3.931209)</f>
        <v>0.59452613339879135</v>
      </c>
    </row>
    <row r="540" spans="1:4">
      <c r="A540">
        <v>1.011517</v>
      </c>
      <c r="B540">
        <v>3.828236</v>
      </c>
      <c r="C540">
        <f>LOG10(1.011517)</f>
        <v>4.9731861124102262E-3</v>
      </c>
      <c r="D540">
        <f>LOG10(3.828236)</f>
        <v>0.582998702965424</v>
      </c>
    </row>
    <row r="541" spans="1:4">
      <c r="A541">
        <v>1.011476</v>
      </c>
      <c r="B541">
        <v>3.8382990000000001</v>
      </c>
      <c r="C541">
        <f>LOG10(1.011476)</f>
        <v>4.9555824195052552E-3</v>
      </c>
      <c r="D541">
        <f>LOG10(3.838299)</f>
        <v>0.58413880286224629</v>
      </c>
    </row>
    <row r="542" spans="1:4">
      <c r="A542">
        <v>1.0113449999999999</v>
      </c>
      <c r="B542">
        <v>3.718947</v>
      </c>
      <c r="C542">
        <f>LOG10(1.011345)</f>
        <v>4.8993316912313185E-3</v>
      </c>
      <c r="D542">
        <f>LOG10(3.718947)</f>
        <v>0.57041998912220038</v>
      </c>
    </row>
    <row r="543" spans="1:4">
      <c r="A543">
        <v>1.0116940000000001</v>
      </c>
      <c r="B543">
        <v>3.7788080000000002</v>
      </c>
      <c r="C543">
        <f>LOG10(1.011694)</f>
        <v>5.0491743543612903E-3</v>
      </c>
      <c r="D543">
        <f>LOG10(3.778808)</f>
        <v>0.57735482611683986</v>
      </c>
    </row>
    <row r="544" spans="1:4">
      <c r="A544">
        <v>1.013328</v>
      </c>
      <c r="B544">
        <v>3.8003960000000001</v>
      </c>
      <c r="C544">
        <f>LOG10(1.013328)</f>
        <v>5.750043122645058E-3</v>
      </c>
      <c r="D544">
        <f>LOG10(3.800396)</f>
        <v>0.57982885231532622</v>
      </c>
    </row>
    <row r="545" spans="1:4">
      <c r="A545">
        <v>1.012297</v>
      </c>
      <c r="B545">
        <v>3.8106390000000001</v>
      </c>
      <c r="C545">
        <f>LOG10(1.012297)</f>
        <v>5.3079497939119286E-3</v>
      </c>
      <c r="D545">
        <f>LOG10(3.810639)</f>
        <v>0.58099780793406552</v>
      </c>
    </row>
    <row r="546" spans="1:4">
      <c r="A546">
        <v>1.0115130000000001</v>
      </c>
      <c r="B546">
        <v>3.7819880000000001</v>
      </c>
      <c r="C546">
        <f>LOG10(1.011513)</f>
        <v>4.9714687103671832E-3</v>
      </c>
      <c r="D546">
        <f>LOG10(3.781988)</f>
        <v>0.57772014652328563</v>
      </c>
    </row>
    <row r="547" spans="1:4">
      <c r="A547">
        <v>1.014831</v>
      </c>
      <c r="B547">
        <v>3.7073369999999999</v>
      </c>
      <c r="C547">
        <f>LOG10(1.014831)</f>
        <v>6.3937251276474883E-3</v>
      </c>
      <c r="D547">
        <f>LOG10(3.707337)</f>
        <v>0.56906206555160377</v>
      </c>
    </row>
    <row r="548" spans="1:4">
      <c r="A548">
        <v>1.0115419999999999</v>
      </c>
      <c r="B548">
        <v>3.7123189999999999</v>
      </c>
      <c r="C548">
        <f>LOG10(1.011542)</f>
        <v>4.9839197213144733E-3</v>
      </c>
      <c r="D548">
        <f>LOG10(3.712319)</f>
        <v>0.56964528812526738</v>
      </c>
    </row>
    <row r="549" spans="1:4">
      <c r="A549">
        <v>1.0122329999999999</v>
      </c>
      <c r="B549">
        <v>3.725806</v>
      </c>
      <c r="C549">
        <f>LOG10(1.012233)</f>
        <v>5.2804917203332765E-3</v>
      </c>
      <c r="D549">
        <f>LOG10(3.725806)</f>
        <v>0.57122023775213182</v>
      </c>
    </row>
    <row r="550" spans="1:4">
      <c r="A550">
        <v>1.012521</v>
      </c>
      <c r="B550">
        <v>3.6847400000000001</v>
      </c>
      <c r="C550">
        <f>LOG10(1.012521)</f>
        <v>5.40403938254971E-3</v>
      </c>
      <c r="D550">
        <f>LOG10(3.68474)</f>
        <v>0.56640684889819914</v>
      </c>
    </row>
    <row r="551" spans="1:4">
      <c r="A551">
        <v>1.011576</v>
      </c>
      <c r="B551">
        <v>3.9185349999999999</v>
      </c>
      <c r="C551">
        <f>LOG10(1.011576)</f>
        <v>4.9985170037133647E-3</v>
      </c>
      <c r="D551">
        <f>LOG10(3.918535)</f>
        <v>0.59312373020027431</v>
      </c>
    </row>
    <row r="552" spans="1:4">
      <c r="A552">
        <v>1.012575</v>
      </c>
      <c r="B552">
        <v>3.7775780000000001</v>
      </c>
      <c r="C552">
        <f>LOG10(1.012575)</f>
        <v>5.4272006569074027E-3</v>
      </c>
      <c r="D552">
        <f>LOG10(3.777578)</f>
        <v>0.57721344048157475</v>
      </c>
    </row>
    <row r="553" spans="1:4">
      <c r="A553">
        <v>1.012885</v>
      </c>
      <c r="B553">
        <v>3.6959360000000001</v>
      </c>
      <c r="C553">
        <f>LOG10(1.012885)</f>
        <v>5.5601396341681333E-3</v>
      </c>
      <c r="D553">
        <f>LOG10(3.695936)</f>
        <v>0.5677244422321891</v>
      </c>
    </row>
    <row r="554" spans="1:4">
      <c r="A554">
        <v>1.015296</v>
      </c>
      <c r="B554">
        <v>3.6740599999999999</v>
      </c>
      <c r="C554">
        <f>LOG10(1.015296)</f>
        <v>6.5926751811334209E-3</v>
      </c>
      <c r="D554">
        <f>LOG10(3.67406)</f>
        <v>0.56514624436394922</v>
      </c>
    </row>
    <row r="555" spans="1:4">
      <c r="A555">
        <v>1.014713</v>
      </c>
      <c r="B555">
        <v>3.7045759999999999</v>
      </c>
      <c r="C555">
        <f>LOG10(1.014713)</f>
        <v>6.3432243758309668E-3</v>
      </c>
      <c r="D555">
        <f>LOG10(3.704576)</f>
        <v>0.56873850883419552</v>
      </c>
    </row>
    <row r="556" spans="1:4">
      <c r="A556">
        <v>1.009911</v>
      </c>
      <c r="B556">
        <v>3.7481049999999998</v>
      </c>
      <c r="C556">
        <f>LOG10(1.009911)</f>
        <v>4.2831025826596033E-3</v>
      </c>
      <c r="D556">
        <f>LOG10(3.748105)</f>
        <v>0.57381174877973695</v>
      </c>
    </row>
    <row r="557" spans="1:4">
      <c r="A557">
        <v>1.011827</v>
      </c>
      <c r="B557">
        <v>3.838905</v>
      </c>
      <c r="C557">
        <f>LOG10(1.011827)</f>
        <v>5.1062641163912197E-3</v>
      </c>
      <c r="D557">
        <f>LOG10(3.838905)</f>
        <v>0.58420736492118852</v>
      </c>
    </row>
    <row r="558" spans="1:4">
      <c r="A558">
        <v>1.012092</v>
      </c>
      <c r="B558">
        <v>3.8275760000000001</v>
      </c>
      <c r="C558">
        <f>LOG10(1.012092)</f>
        <v>5.2199920258204253E-3</v>
      </c>
      <c r="D558">
        <f>LOG10(3.827576)</f>
        <v>0.58292382276753874</v>
      </c>
    </row>
    <row r="559" spans="1:4">
      <c r="A559">
        <v>1.0080720000000001</v>
      </c>
      <c r="B559">
        <v>3.9843920000000002</v>
      </c>
      <c r="C559">
        <f>LOG10(1.008072)</f>
        <v>3.4915520360868486E-3</v>
      </c>
      <c r="D559">
        <f>LOG10(3.984392)</f>
        <v>0.60036205943590448</v>
      </c>
    </row>
    <row r="560" spans="1:4">
      <c r="A560">
        <v>1.0086139999999999</v>
      </c>
      <c r="B560">
        <v>3.717511</v>
      </c>
      <c r="C560">
        <f>LOG10(1.008614)</f>
        <v>3.7249920608193958E-3</v>
      </c>
      <c r="D560">
        <f>LOG10(3.717511)</f>
        <v>0.57025226225982451</v>
      </c>
    </row>
    <row r="561" spans="1:4">
      <c r="A561">
        <v>1.013506</v>
      </c>
      <c r="B561">
        <v>4.1460350000000004</v>
      </c>
      <c r="C561">
        <f>LOG10(1.013506)</f>
        <v>5.8263240790307558E-3</v>
      </c>
      <c r="D561">
        <f>LOG10(4.146035)</f>
        <v>0.61763296400065626</v>
      </c>
    </row>
    <row r="562" spans="1:4">
      <c r="A562">
        <v>1.012686</v>
      </c>
      <c r="B562">
        <v>3.9059020000000002</v>
      </c>
      <c r="C562">
        <f>LOG10(1.012686)</f>
        <v>5.4748060643482399E-3</v>
      </c>
      <c r="D562">
        <f>LOG10(3.905902)</f>
        <v>0.59172134253781794</v>
      </c>
    </row>
    <row r="563" spans="1:4">
      <c r="A563">
        <v>1.0143009999999999</v>
      </c>
      <c r="B563">
        <v>3.9352779999999998</v>
      </c>
      <c r="C563">
        <f>LOG10(1.014301)</f>
        <v>6.1668536568479319E-3</v>
      </c>
      <c r="D563">
        <f>LOG10(3.935278)</f>
        <v>0.59497541766112272</v>
      </c>
    </row>
    <row r="564" spans="1:4">
      <c r="A564">
        <v>1.015088</v>
      </c>
      <c r="B564">
        <v>4.0917969999999997</v>
      </c>
      <c r="C564">
        <f>LOG10(1.015088)</f>
        <v>6.5036937347155242E-3</v>
      </c>
      <c r="D564">
        <f>LOG10(4.091797)</f>
        <v>0.61191407959371313</v>
      </c>
    </row>
    <row r="565" spans="1:4">
      <c r="A565">
        <v>1.0124880000000001</v>
      </c>
      <c r="B565">
        <v>3.7536149999999999</v>
      </c>
      <c r="C565">
        <f>LOG10(1.012488)</f>
        <v>5.3898846623444624E-3</v>
      </c>
      <c r="D565">
        <f>LOG10(3.753615)</f>
        <v>0.57444972594380372</v>
      </c>
    </row>
    <row r="566" spans="1:4">
      <c r="A566">
        <v>1.0163519999999999</v>
      </c>
      <c r="B566">
        <v>3.7767819999999999</v>
      </c>
      <c r="C566">
        <f>LOG10(1.016352)</f>
        <v>7.0441461192000164E-3</v>
      </c>
      <c r="D566">
        <f>LOG10(3.776782)</f>
        <v>0.5771219175970751</v>
      </c>
    </row>
    <row r="567" spans="1:4">
      <c r="A567">
        <v>1.165999</v>
      </c>
      <c r="B567">
        <v>3.6138379999999999</v>
      </c>
      <c r="C567">
        <f>LOG10(1.165999)</f>
        <v>6.6698177957585217E-2</v>
      </c>
      <c r="D567">
        <f>LOG10(3.613838)</f>
        <v>0.55796868024400914</v>
      </c>
    </row>
    <row r="568" spans="1:4">
      <c r="A568">
        <v>1.1742589999999999</v>
      </c>
      <c r="B568">
        <v>3.7152029999999998</v>
      </c>
      <c r="C568">
        <f>LOG10(1.174259)</f>
        <v>6.9763897478116677E-2</v>
      </c>
      <c r="D568">
        <f>LOG10(3.715203)</f>
        <v>0.56998254874832677</v>
      </c>
    </row>
    <row r="569" spans="1:4">
      <c r="A569">
        <v>1.1746939999999999</v>
      </c>
      <c r="B569">
        <v>3.4598100000000001</v>
      </c>
      <c r="C569">
        <f>LOG10(1.174694)</f>
        <v>6.9924750506497865E-2</v>
      </c>
      <c r="D569">
        <f>LOG10(3.45981)</f>
        <v>0.5390522495970379</v>
      </c>
    </row>
    <row r="570" spans="1:4">
      <c r="A570">
        <v>1.156936</v>
      </c>
      <c r="B570">
        <v>3.4364859999999999</v>
      </c>
      <c r="C570">
        <f>LOG10(1.156936)</f>
        <v>6.330933508345854E-2</v>
      </c>
      <c r="D570">
        <f>LOG10(3.436486)</f>
        <v>0.536114578963795</v>
      </c>
    </row>
    <row r="571" spans="1:4">
      <c r="A571">
        <v>1.1763429999999999</v>
      </c>
      <c r="B571">
        <v>3.4684780000000002</v>
      </c>
      <c r="C571">
        <f>LOG10(1.176343)</f>
        <v>7.0533972495004066E-2</v>
      </c>
      <c r="D571">
        <f>LOG10(3.468478)</f>
        <v>0.54013894418400044</v>
      </c>
    </row>
    <row r="572" spans="1:4">
      <c r="A572">
        <v>1.1686479999999999</v>
      </c>
      <c r="B572">
        <v>3.6307230000000001</v>
      </c>
      <c r="C572">
        <f>LOG10(1.168648)</f>
        <v>6.7683720162694486E-2</v>
      </c>
      <c r="D572">
        <f>LOG10(3.630723)</f>
        <v>0.55999311639832372</v>
      </c>
    </row>
    <row r="573" spans="1:4">
      <c r="A573">
        <v>1.1544669999999999</v>
      </c>
      <c r="B573">
        <v>3.6871429999999998</v>
      </c>
      <c r="C573">
        <f>LOG10(1.154467)</f>
        <v>6.2381523288072366E-2</v>
      </c>
      <c r="D573">
        <f>LOG10(3.687143)</f>
        <v>0.56668998135620918</v>
      </c>
    </row>
    <row r="574" spans="1:4">
      <c r="A574">
        <v>1.1561410000000001</v>
      </c>
      <c r="B574">
        <v>3.529331</v>
      </c>
      <c r="C574">
        <f>LOG10(1.156141)</f>
        <v>6.3010802759019546E-2</v>
      </c>
      <c r="D574">
        <f>LOG10(3.529331)</f>
        <v>0.5476923907862653</v>
      </c>
    </row>
    <row r="575" spans="1:4">
      <c r="A575">
        <v>1.1595979999999999</v>
      </c>
      <c r="B575">
        <v>3.7747860000000002</v>
      </c>
      <c r="C575">
        <f>LOG10(1.159598)</f>
        <v>6.4307457640434051E-2</v>
      </c>
      <c r="D575">
        <f>LOG10(3.774786)</f>
        <v>0.5768923356596376</v>
      </c>
    </row>
    <row r="576" spans="1:4">
      <c r="A576">
        <v>1.1348229999999999</v>
      </c>
      <c r="B576">
        <v>3.8472529999999998</v>
      </c>
      <c r="C576">
        <f>LOG10(1.134823)</f>
        <v>5.4928129266799727E-2</v>
      </c>
      <c r="D576">
        <f>LOG10(3.847253)</f>
        <v>0.58515074697513791</v>
      </c>
    </row>
    <row r="577" spans="1:4">
      <c r="A577">
        <v>1.1437729999999999</v>
      </c>
      <c r="B577">
        <v>3.654077</v>
      </c>
      <c r="C577">
        <f>LOG10(1.143773)</f>
        <v>5.833984034021094E-2</v>
      </c>
      <c r="D577">
        <f>LOG10(3.654077)</f>
        <v>0.56277769471952044</v>
      </c>
    </row>
    <row r="578" spans="1:4">
      <c r="A578">
        <v>1.1376500000000001</v>
      </c>
      <c r="B578">
        <v>3.7592989999999999</v>
      </c>
      <c r="C578">
        <f>LOG10(1.13765)</f>
        <v>5.6008671155473463E-2</v>
      </c>
      <c r="D578">
        <f>LOG10(3.759299)</f>
        <v>0.57510686917907172</v>
      </c>
    </row>
    <row r="579" spans="1:4">
      <c r="A579">
        <v>1.1510959999999999</v>
      </c>
      <c r="B579">
        <v>3.5979179999999999</v>
      </c>
      <c r="C579">
        <f>LOG10(1.151096)</f>
        <v>6.1111544769385316E-2</v>
      </c>
      <c r="D579">
        <f>LOG10(3.597918)</f>
        <v>0.55605126113478809</v>
      </c>
    </row>
    <row r="580" spans="1:4">
      <c r="A580">
        <v>1.149205</v>
      </c>
      <c r="B580">
        <v>3.4537309999999999</v>
      </c>
      <c r="C580">
        <f>LOG10(1.149205)</f>
        <v>6.0397506867147642E-2</v>
      </c>
      <c r="D580">
        <f>LOG10(3.453731)</f>
        <v>0.53828850874820777</v>
      </c>
    </row>
    <row r="581" spans="1:4">
      <c r="A581">
        <v>1.1629940000000001</v>
      </c>
      <c r="B581">
        <v>3.5045630000000001</v>
      </c>
      <c r="C581">
        <f>LOG10(1.162994)</f>
        <v>6.5577474166442329E-2</v>
      </c>
      <c r="D581">
        <f>LOG10(3.504563)</f>
        <v>0.54463387151215381</v>
      </c>
    </row>
    <row r="582" spans="1:4">
      <c r="A582">
        <v>1.1239520000000001</v>
      </c>
      <c r="B582">
        <v>3.4606020000000002</v>
      </c>
      <c r="C582">
        <f>LOG10(1.123952)</f>
        <v>5.0747764453454018E-2</v>
      </c>
      <c r="D582">
        <f>LOG10(3.460602)</f>
        <v>0.53915165443916846</v>
      </c>
    </row>
    <row r="583" spans="1:4">
      <c r="A583">
        <v>1.127748</v>
      </c>
      <c r="B583">
        <v>3.3501409999999998</v>
      </c>
      <c r="C583">
        <f>LOG10(1.127748)</f>
        <v>5.2212065572688454E-2</v>
      </c>
      <c r="D583">
        <f>LOG10(3.350141)</f>
        <v>0.52506308591245621</v>
      </c>
    </row>
    <row r="584" spans="1:4">
      <c r="A584">
        <v>1.1024069999999999</v>
      </c>
      <c r="B584">
        <v>3.4937649999999998</v>
      </c>
      <c r="C584">
        <f>LOG10(1.102407)</f>
        <v>4.2341962230206497E-2</v>
      </c>
      <c r="D584">
        <f>LOG10(3.493765)</f>
        <v>0.54329368981818915</v>
      </c>
    </row>
    <row r="585" spans="1:4">
      <c r="A585">
        <v>1.088336</v>
      </c>
      <c r="B585">
        <v>3.3791609999999999</v>
      </c>
      <c r="C585">
        <f>LOG10(1.088336)</f>
        <v>3.6762995011368635E-2</v>
      </c>
      <c r="D585">
        <f>LOG10(3.379161)</f>
        <v>0.52880888421226191</v>
      </c>
    </row>
    <row r="586" spans="1:4">
      <c r="A586">
        <v>1.107901</v>
      </c>
      <c r="B586">
        <v>3.4067910000000001</v>
      </c>
      <c r="C586">
        <f>LOG10(1.107901)</f>
        <v>4.4500954368371946E-2</v>
      </c>
      <c r="D586">
        <f>LOG10(3.406791)</f>
        <v>0.53234549126354314</v>
      </c>
    </row>
    <row r="587" spans="1:4">
      <c r="A587">
        <v>1.0966940000000001</v>
      </c>
      <c r="B587">
        <v>3.3781659999999998</v>
      </c>
      <c r="C587">
        <f>LOG10(1.096694)</f>
        <v>4.0085467456368006E-2</v>
      </c>
      <c r="D587">
        <f>LOG10(3.378166)</f>
        <v>0.52868098659457463</v>
      </c>
    </row>
    <row r="588" spans="1:4">
      <c r="A588">
        <v>1.073528</v>
      </c>
      <c r="B588">
        <v>3.4859309999999999</v>
      </c>
      <c r="C588">
        <f>LOG10(1.073528)</f>
        <v>3.0813376286854162E-2</v>
      </c>
      <c r="D588">
        <f>LOG10(3.485931)</f>
        <v>0.54231878649863763</v>
      </c>
    </row>
    <row r="589" spans="1:4">
      <c r="A589">
        <v>1.0579149999999999</v>
      </c>
      <c r="B589">
        <v>3.5390790000000001</v>
      </c>
      <c r="C589">
        <f>LOG10(1.057915)</f>
        <v>2.4450774963890101E-2</v>
      </c>
      <c r="D589">
        <f>LOG10(3.539079)</f>
        <v>0.54889025715041073</v>
      </c>
    </row>
    <row r="590" spans="1:4">
      <c r="A590">
        <v>1.0525279999999999</v>
      </c>
      <c r="B590">
        <v>3.8306499999999999</v>
      </c>
      <c r="C590">
        <f>LOG10(1.052528)</f>
        <v>2.2233658031453791E-2</v>
      </c>
      <c r="D590">
        <f>LOG10(3.83065)</f>
        <v>0.58327247304478846</v>
      </c>
    </row>
    <row r="591" spans="1:4">
      <c r="A591">
        <v>1.076611</v>
      </c>
      <c r="B591">
        <v>3.5341260000000001</v>
      </c>
      <c r="C591">
        <f>LOG10(1.076611)</f>
        <v>3.2058812796124325E-2</v>
      </c>
      <c r="D591">
        <f>LOG10(3.534126)</f>
        <v>0.54828202907828327</v>
      </c>
    </row>
    <row r="592" spans="1:4">
      <c r="A592">
        <v>1.079369</v>
      </c>
      <c r="B592">
        <v>3.6905600000000001</v>
      </c>
      <c r="C592">
        <f>LOG10(1.079369)</f>
        <v>3.3169940760628271E-2</v>
      </c>
      <c r="D592">
        <f>LOG10(3.69056)</f>
        <v>0.56709227034799248</v>
      </c>
    </row>
    <row r="593" spans="1:4">
      <c r="A593">
        <v>1.0751459999999999</v>
      </c>
      <c r="B593">
        <v>3.6773980000000002</v>
      </c>
      <c r="C593">
        <f>LOG10(1.075146)</f>
        <v>3.146744349717797E-2</v>
      </c>
      <c r="D593">
        <f>LOG10(3.677398)</f>
        <v>0.56554063553920175</v>
      </c>
    </row>
    <row r="594" spans="1:4">
      <c r="A594">
        <v>1.0668979999999999</v>
      </c>
      <c r="B594">
        <v>3.8611930000000001</v>
      </c>
      <c r="C594">
        <f>LOG10(1.066898)</f>
        <v>2.8122901004013139E-2</v>
      </c>
      <c r="D594">
        <f>LOG10(3.861193)</f>
        <v>0.58672151018145624</v>
      </c>
    </row>
    <row r="595" spans="1:4">
      <c r="A595">
        <v>1.064125</v>
      </c>
      <c r="B595">
        <v>3.7868050000000002</v>
      </c>
      <c r="C595">
        <f>LOG10(1.064125)</f>
        <v>2.6992646400427634E-2</v>
      </c>
      <c r="D595">
        <f>LOG10(3.786805)</f>
        <v>0.57827294187699052</v>
      </c>
    </row>
    <row r="596" spans="1:4">
      <c r="A596">
        <v>1.059615</v>
      </c>
      <c r="B596">
        <v>3.8781279999999998</v>
      </c>
      <c r="C596">
        <f>LOG10(1.059615)</f>
        <v>2.5148097578306852E-2</v>
      </c>
      <c r="D596">
        <f>LOG10(3.878128)</f>
        <v>0.58862213913574679</v>
      </c>
    </row>
    <row r="597" spans="1:4">
      <c r="A597">
        <v>1.0706770000000001</v>
      </c>
      <c r="B597">
        <v>3.6151300000000002</v>
      </c>
      <c r="C597">
        <f>LOG10(1.070677)</f>
        <v>2.9658473376386607E-2</v>
      </c>
      <c r="D597">
        <f>LOG10(3.61513)</f>
        <v>0.55812391913193715</v>
      </c>
    </row>
    <row r="598" spans="1:4">
      <c r="A598">
        <v>1.061353</v>
      </c>
      <c r="B598">
        <v>3.9361839999999999</v>
      </c>
      <c r="C598">
        <f>LOG10(1.061353)</f>
        <v>2.5859851813630024E-2</v>
      </c>
      <c r="D598">
        <f>LOG10(3.936184)</f>
        <v>0.59507539166908774</v>
      </c>
    </row>
    <row r="599" spans="1:4">
      <c r="A599">
        <v>1.0595619999999999</v>
      </c>
      <c r="B599">
        <v>4.1500839999999997</v>
      </c>
      <c r="C599">
        <f>LOG10(1.059562)</f>
        <v>2.5126374421113557E-2</v>
      </c>
      <c r="D599">
        <f>LOG10(4.150084)</f>
        <v>0.61805688716204021</v>
      </c>
    </row>
    <row r="600" spans="1:4">
      <c r="A600">
        <v>1.0638019999999999</v>
      </c>
      <c r="B600">
        <v>4.0818989999999999</v>
      </c>
      <c r="C600">
        <f>LOG10(1.063802)</f>
        <v>2.6860802480281751E-2</v>
      </c>
      <c r="D600">
        <f>LOG10(4.081899)</f>
        <v>0.61086225459726473</v>
      </c>
    </row>
    <row r="601" spans="1:4">
      <c r="A601">
        <v>1.0667260000000001</v>
      </c>
      <c r="B601">
        <v>4.4072209999999998</v>
      </c>
      <c r="C601">
        <f>LOG10(1.066726)</f>
        <v>2.8052880558940247E-2</v>
      </c>
      <c r="D601">
        <f>LOG10(4.407221)</f>
        <v>0.64416482874319003</v>
      </c>
    </row>
    <row r="602" spans="1:4">
      <c r="A602">
        <v>1.0669090000000001</v>
      </c>
      <c r="B602">
        <v>4.4253400000000003</v>
      </c>
      <c r="C602">
        <f>LOG10(1.066909)</f>
        <v>2.8127378671675741E-2</v>
      </c>
      <c r="D602">
        <f>LOG10(4.42534)</f>
        <v>0.64594664327143059</v>
      </c>
    </row>
    <row r="603" spans="1:4">
      <c r="A603">
        <v>1.070754</v>
      </c>
      <c r="B603">
        <v>4.6603529999999997</v>
      </c>
      <c r="C603">
        <f>LOG10(1.070754)</f>
        <v>2.9689705459158281E-2</v>
      </c>
      <c r="D603">
        <f>LOG10(4.660353)</f>
        <v>0.66841881371700873</v>
      </c>
    </row>
    <row r="604" spans="1:4">
      <c r="A604">
        <v>1.0893219999999999</v>
      </c>
      <c r="B604">
        <v>4.7857469999999998</v>
      </c>
      <c r="C604">
        <f>LOG10(1.089322)</f>
        <v>3.7156274753568086E-2</v>
      </c>
      <c r="D604">
        <f>LOG10(4.785747)</f>
        <v>0.67994973577173567</v>
      </c>
    </row>
    <row r="605" spans="1:4">
      <c r="A605">
        <v>1.0862780000000001</v>
      </c>
      <c r="B605">
        <v>5.054481</v>
      </c>
      <c r="C605">
        <f>LOG10(1.086278)</f>
        <v>3.5940984014854238E-2</v>
      </c>
      <c r="D605">
        <f>LOG10(5.054481)</f>
        <v>0.7036765683527727</v>
      </c>
    </row>
    <row r="606" spans="1:4">
      <c r="A606">
        <v>1.0740369999999999</v>
      </c>
      <c r="B606">
        <v>4.8539899999999996</v>
      </c>
      <c r="C606">
        <f>LOG10(1.074037)</f>
        <v>3.101924283378333E-2</v>
      </c>
      <c r="D606">
        <f>LOG10(4.85399)</f>
        <v>0.68609887728036323</v>
      </c>
    </row>
    <row r="607" spans="1:4">
      <c r="A607">
        <v>1.084889</v>
      </c>
      <c r="B607">
        <v>4.6968909999999999</v>
      </c>
      <c r="C607">
        <f>LOG10(1.084889)</f>
        <v>3.5385305784980121E-2</v>
      </c>
      <c r="D607">
        <f>LOG10(4.696891)</f>
        <v>0.67181048169744795</v>
      </c>
    </row>
    <row r="608" spans="1:4">
      <c r="A608">
        <v>1.0856870000000001</v>
      </c>
      <c r="B608">
        <v>4.8976030000000002</v>
      </c>
      <c r="C608">
        <f>LOG10(1.085687)</f>
        <v>3.5704637623324507E-2</v>
      </c>
      <c r="D608">
        <f>LOG10(4.897603)</f>
        <v>0.68998357827805656</v>
      </c>
    </row>
    <row r="609" spans="1:4">
      <c r="A609">
        <v>1.069571</v>
      </c>
      <c r="B609">
        <v>5.205012</v>
      </c>
      <c r="C609">
        <f>LOG10(1.069571)</f>
        <v>2.9209619094320849E-2</v>
      </c>
      <c r="D609">
        <f>LOG10(5.205012)</f>
        <v>0.71642173510069052</v>
      </c>
    </row>
    <row r="610" spans="1:4">
      <c r="A610">
        <v>1.0600179999999999</v>
      </c>
      <c r="B610">
        <v>5.1799350000000004</v>
      </c>
      <c r="C610">
        <f>LOG10(1.060018)</f>
        <v>2.5313240014111432E-2</v>
      </c>
      <c r="D610">
        <f>LOG10(5.179935)</f>
        <v>0.71432431006985886</v>
      </c>
    </row>
    <row r="611" spans="1:4">
      <c r="A611">
        <v>1.0574619999999999</v>
      </c>
      <c r="B611">
        <v>4.9684020000000002</v>
      </c>
      <c r="C611">
        <f>LOG10(1.057462)</f>
        <v>2.4264769912961094E-2</v>
      </c>
      <c r="D611">
        <f>LOG10(4.968402)</f>
        <v>0.69621672793312261</v>
      </c>
    </row>
    <row r="612" spans="1:4">
      <c r="A612">
        <v>1.062738</v>
      </c>
      <c r="B612">
        <v>5.0150740000000003</v>
      </c>
      <c r="C612">
        <f>LOG10(1.062738)</f>
        <v>2.6426209792342299E-2</v>
      </c>
      <c r="D612">
        <f>LOG10(5.015074)</f>
        <v>0.70027734564248978</v>
      </c>
    </row>
    <row r="613" spans="1:4">
      <c r="A613">
        <v>1.0574570000000001</v>
      </c>
      <c r="B613">
        <v>4.8175920000000003</v>
      </c>
      <c r="C613">
        <f>LOG10(1.057457)</f>
        <v>2.4262716432511544E-2</v>
      </c>
      <c r="D613">
        <f>LOG10(4.817592)</f>
        <v>0.68283001698827483</v>
      </c>
    </row>
    <row r="614" spans="1:4">
      <c r="A614">
        <v>1.0621529999999999</v>
      </c>
      <c r="B614">
        <v>5.1269450000000001</v>
      </c>
      <c r="C614">
        <f>LOG10(1.062153)</f>
        <v>2.6187080087964727E-2</v>
      </c>
      <c r="D614">
        <f>LOG10(5.126945)</f>
        <v>0.70985865851224916</v>
      </c>
    </row>
    <row r="615" spans="1:4">
      <c r="A615">
        <v>1.058713</v>
      </c>
      <c r="B615">
        <v>4.181127</v>
      </c>
      <c r="C615">
        <f>LOG10(1.058713)</f>
        <v>2.4778245840188808E-2</v>
      </c>
      <c r="D615">
        <f>LOG10(4.181127)</f>
        <v>0.62129335926568185</v>
      </c>
    </row>
    <row r="616" spans="1:4">
      <c r="A616">
        <v>1.0133779999999999</v>
      </c>
      <c r="B616">
        <v>3.9439190000000002</v>
      </c>
      <c r="C616">
        <f>LOG10(1.013378)</f>
        <v>5.7714717108068511E-3</v>
      </c>
      <c r="D616">
        <f>LOG10(3.943919)</f>
        <v>0.59592798684364823</v>
      </c>
    </row>
    <row r="617" spans="1:4">
      <c r="A617">
        <v>1.0123709999999999</v>
      </c>
      <c r="B617">
        <v>4.0317559999999997</v>
      </c>
      <c r="C617">
        <f>LOG10(1.012371)</f>
        <v>5.3396960275414532E-3</v>
      </c>
      <c r="D617">
        <f>LOG10(4.031756)</f>
        <v>0.60549424093248805</v>
      </c>
    </row>
    <row r="618" spans="1:4">
      <c r="A618">
        <v>1.0105630000000001</v>
      </c>
      <c r="B618">
        <v>3.8503829999999999</v>
      </c>
      <c r="C618">
        <f>LOG10(1.010563)</f>
        <v>4.5633932590352817E-3</v>
      </c>
      <c r="D618">
        <f>LOG10(3.850383)</f>
        <v>0.58550393120034017</v>
      </c>
    </row>
    <row r="619" spans="1:4">
      <c r="A619">
        <v>1.015118</v>
      </c>
      <c r="B619">
        <v>3.7122329999999999</v>
      </c>
      <c r="C619">
        <f>LOG10(1.015118)</f>
        <v>6.5165287223552361E-3</v>
      </c>
      <c r="D619">
        <f>LOG10(3.712233)</f>
        <v>0.5696352270938555</v>
      </c>
    </row>
    <row r="620" spans="1:4">
      <c r="A620">
        <v>1.0128550000000001</v>
      </c>
      <c r="B620">
        <v>3.7728830000000002</v>
      </c>
      <c r="C620">
        <f>LOG10(1.012855)</f>
        <v>5.5472763501750854E-3</v>
      </c>
      <c r="D620">
        <f>LOG10(3.772883)</f>
        <v>0.57667333760432415</v>
      </c>
    </row>
    <row r="621" spans="1:4">
      <c r="A621">
        <v>1.011719</v>
      </c>
      <c r="B621">
        <v>3.9678680000000002</v>
      </c>
      <c r="C621">
        <f>LOG10(1.011719)</f>
        <v>5.0599060853999938E-3</v>
      </c>
      <c r="D621">
        <f>LOG10(3.967868)</f>
        <v>0.59855721594555988</v>
      </c>
    </row>
    <row r="622" spans="1:4">
      <c r="A622">
        <v>1.0087969999999999</v>
      </c>
      <c r="B622">
        <v>3.9734050000000001</v>
      </c>
      <c r="C622">
        <f>LOG10(1.008797)</f>
        <v>3.8037820450182525E-3</v>
      </c>
      <c r="D622">
        <f>LOG10(3.973405)</f>
        <v>0.59916283394559011</v>
      </c>
    </row>
    <row r="623" spans="1:4">
      <c r="A623">
        <v>1.0116229999999999</v>
      </c>
      <c r="B623">
        <v>3.7854610000000002</v>
      </c>
      <c r="C623">
        <f>LOG10(1.011623)</f>
        <v>5.0186947921099434E-3</v>
      </c>
      <c r="D623">
        <f>LOG10(3.785461)</f>
        <v>0.57811877619136687</v>
      </c>
    </row>
    <row r="624" spans="1:4">
      <c r="A624">
        <v>1.009479</v>
      </c>
      <c r="B624">
        <v>3.9144169999999998</v>
      </c>
      <c r="C624">
        <f>LOG10(1.009479)</f>
        <v>4.0972888279671195E-3</v>
      </c>
      <c r="D624">
        <f>LOG10(3.914417)</f>
        <v>0.59266708886218233</v>
      </c>
    </row>
    <row r="625" spans="1:4">
      <c r="A625">
        <v>1.011153</v>
      </c>
      <c r="B625">
        <v>3.9667680000000001</v>
      </c>
      <c r="C625">
        <f>LOG10(1.011153)</f>
        <v>4.8168747090479979E-3</v>
      </c>
      <c r="D625">
        <f>LOG10(3.966768)</f>
        <v>0.598436801112881</v>
      </c>
    </row>
    <row r="626" spans="1:4">
      <c r="A626">
        <v>1.0129379999999999</v>
      </c>
      <c r="B626">
        <v>3.826082</v>
      </c>
      <c r="C626">
        <f>LOG10(1.012938)</f>
        <v>5.5828638381544273E-3</v>
      </c>
      <c r="D626">
        <f>LOG10(3.826082)</f>
        <v>0.58275427352345066</v>
      </c>
    </row>
    <row r="627" spans="1:4">
      <c r="A627">
        <v>1.0097769999999999</v>
      </c>
      <c r="B627">
        <v>3.825167</v>
      </c>
      <c r="C627">
        <f>LOG10(1.009777)</f>
        <v>4.2254744136944362E-3</v>
      </c>
      <c r="D627">
        <f>LOG10(3.825167)</f>
        <v>0.58265040042957128</v>
      </c>
    </row>
    <row r="628" spans="1:4">
      <c r="A628">
        <v>1.011822</v>
      </c>
      <c r="B628">
        <v>3.7920940000000001</v>
      </c>
      <c r="C628">
        <f>LOG10(1.011822)</f>
        <v>5.1041180204926375E-3</v>
      </c>
      <c r="D628">
        <f>LOG10(3.792094)</f>
        <v>0.57887909427133388</v>
      </c>
    </row>
    <row r="629" spans="1:4">
      <c r="A629">
        <v>1.0103089999999999</v>
      </c>
      <c r="B629">
        <v>3.6473460000000002</v>
      </c>
      <c r="C629">
        <f>LOG10(1.010309)</f>
        <v>4.4542217736721389E-3</v>
      </c>
      <c r="D629">
        <f>LOG10(3.647346)</f>
        <v>0.56197696396174923</v>
      </c>
    </row>
    <row r="630" spans="1:4">
      <c r="A630">
        <v>1.0118050000000001</v>
      </c>
      <c r="B630">
        <v>3.5746829999999998</v>
      </c>
      <c r="C630">
        <f>LOG10(1.011805)</f>
        <v>5.0968212151105193E-3</v>
      </c>
      <c r="D630">
        <f>LOG10(3.574683)</f>
        <v>0.55323753496091055</v>
      </c>
    </row>
    <row r="631" spans="1:4">
      <c r="A631">
        <v>1.009517</v>
      </c>
      <c r="B631">
        <v>3.570246</v>
      </c>
      <c r="C631">
        <f>LOG10(1.009517)</f>
        <v>4.1136367457582047E-3</v>
      </c>
      <c r="D631">
        <f>LOG10(3.570246)</f>
        <v>0.55269814125555394</v>
      </c>
    </row>
    <row r="632" spans="1:4">
      <c r="A632">
        <v>1.0115799999999999</v>
      </c>
      <c r="B632">
        <v>3.4436119999999999</v>
      </c>
      <c r="C632">
        <f>LOG10(1.01158)</f>
        <v>5.0002342987984384E-3</v>
      </c>
      <c r="D632">
        <f>LOG10(3.443612)</f>
        <v>0.53701421254014692</v>
      </c>
    </row>
    <row r="633" spans="1:4">
      <c r="A633">
        <v>1.01528</v>
      </c>
      <c r="B633">
        <v>3.5090319999999999</v>
      </c>
      <c r="C633">
        <f>LOG10(1.01528)</f>
        <v>6.5858311017090573E-3</v>
      </c>
      <c r="D633">
        <f>LOG10(3.509032)</f>
        <v>0.5451873287055895</v>
      </c>
    </row>
    <row r="634" spans="1:4">
      <c r="A634">
        <v>1.01162</v>
      </c>
      <c r="B634">
        <v>3.4429120000000002</v>
      </c>
      <c r="C634">
        <f>LOG10(1.01162)</f>
        <v>5.0174068761792319E-3</v>
      </c>
      <c r="D634">
        <f>LOG10(3.442912)</f>
        <v>0.53692592238436465</v>
      </c>
    </row>
    <row r="635" spans="1:4">
      <c r="A635">
        <v>1.020124</v>
      </c>
      <c r="B635">
        <v>3.4462510000000002</v>
      </c>
      <c r="C635">
        <f>LOG10(1.020124)</f>
        <v>8.652965137048026E-3</v>
      </c>
      <c r="D635">
        <f>LOG10(3.446251)</f>
        <v>0.53734690513324801</v>
      </c>
    </row>
    <row r="636" spans="1:4">
      <c r="A636">
        <v>1.0091889999999999</v>
      </c>
      <c r="B636">
        <v>3.3630420000000001</v>
      </c>
      <c r="C636">
        <f>LOG10(1.009189)</f>
        <v>3.9725081303799833E-3</v>
      </c>
      <c r="D636">
        <f>LOG10(3.363042)</f>
        <v>0.52673229111907816</v>
      </c>
    </row>
    <row r="637" spans="1:4">
      <c r="A637">
        <v>1.0170319999999999</v>
      </c>
      <c r="B637">
        <v>3.5283920000000002</v>
      </c>
      <c r="C637">
        <f>LOG10(1.017032)</f>
        <v>7.3346178242033972E-3</v>
      </c>
      <c r="D637">
        <f>LOG10(3.528392)</f>
        <v>0.54757682872158431</v>
      </c>
    </row>
    <row r="638" spans="1:4">
      <c r="A638">
        <v>1.010913</v>
      </c>
      <c r="B638">
        <v>3.5497200000000002</v>
      </c>
      <c r="C638">
        <f>LOG10(1.010913)</f>
        <v>4.7137814607106678E-3</v>
      </c>
      <c r="D638">
        <f>LOG10(3.54972)</f>
        <v>0.55019409749149562</v>
      </c>
    </row>
    <row r="639" spans="1:4">
      <c r="A639">
        <v>1.0099279999999999</v>
      </c>
      <c r="B639">
        <v>3.8493659999999998</v>
      </c>
      <c r="C639">
        <f>LOG10(1.009928)</f>
        <v>4.2904130724486416E-3</v>
      </c>
      <c r="D639">
        <f>LOG10(3.849366)</f>
        <v>0.58538920603445121</v>
      </c>
    </row>
    <row r="640" spans="1:4">
      <c r="A640">
        <v>1.0092399999999999</v>
      </c>
      <c r="B640">
        <v>3.5767169999999999</v>
      </c>
      <c r="C640">
        <f>LOG10(1.00924)</f>
        <v>3.9944549202663646E-3</v>
      </c>
      <c r="D640">
        <f>LOG10(3.576717)</f>
        <v>0.55348457889636682</v>
      </c>
    </row>
    <row r="641" spans="1:4">
      <c r="A641">
        <v>1.012367</v>
      </c>
      <c r="B641">
        <v>3.6843910000000002</v>
      </c>
      <c r="C641">
        <f>LOG10(1.012367)</f>
        <v>5.3379800742402667E-3</v>
      </c>
      <c r="D641">
        <f>LOG10(3.684391)</f>
        <v>0.56636571276578473</v>
      </c>
    </row>
    <row r="642" spans="1:4">
      <c r="A642">
        <v>1.009423</v>
      </c>
      <c r="B642">
        <v>3.6613959999999999</v>
      </c>
      <c r="C642">
        <f>LOG10(1.009423)</f>
        <v>4.0731960379328889E-3</v>
      </c>
      <c r="D642">
        <f>LOG10(3.661396)</f>
        <v>0.5636467027450045</v>
      </c>
    </row>
    <row r="643" spans="1:4">
      <c r="A643">
        <v>1.013836</v>
      </c>
      <c r="B643">
        <v>3.847467</v>
      </c>
      <c r="C643">
        <f>LOG10(1.013836)</f>
        <v>5.9677083943498344E-3</v>
      </c>
      <c r="D643">
        <f>LOG10(3.847467)</f>
        <v>0.5851749035446171</v>
      </c>
    </row>
    <row r="644" spans="1:4">
      <c r="A644">
        <v>1.010996</v>
      </c>
      <c r="B644">
        <v>3.7654290000000001</v>
      </c>
      <c r="C644">
        <f>LOG10(1.010996)</f>
        <v>4.7494373107199823E-3</v>
      </c>
      <c r="D644">
        <f>LOG10(3.765429)</f>
        <v>0.57581446306498918</v>
      </c>
    </row>
    <row r="645" spans="1:4">
      <c r="A645">
        <v>1.0099899999999999</v>
      </c>
      <c r="B645">
        <v>3.8276050000000001</v>
      </c>
      <c r="C645">
        <f>LOG10(1.00999)</f>
        <v>4.3170738159901724E-3</v>
      </c>
      <c r="D645">
        <f>LOG10(3.827605)</f>
        <v>0.58292711322924706</v>
      </c>
    </row>
    <row r="646" spans="1:4">
      <c r="A646">
        <v>1.019163</v>
      </c>
      <c r="B646">
        <v>3.6033750000000002</v>
      </c>
      <c r="C646">
        <f>LOG10(1.019163)</f>
        <v>8.2436485200115869E-3</v>
      </c>
      <c r="D646">
        <f>LOG10(3.603375)</f>
        <v>0.55670946111120312</v>
      </c>
    </row>
    <row r="647" spans="1:4">
      <c r="A647">
        <v>1.0144299999999999</v>
      </c>
      <c r="B647">
        <v>3.864093</v>
      </c>
      <c r="C647">
        <f>LOG10(1.01443)</f>
        <v>6.2220842302862494E-3</v>
      </c>
      <c r="D647">
        <f>LOG10(3.864093)</f>
        <v>0.5870475703575273</v>
      </c>
    </row>
    <row r="648" spans="1:4">
      <c r="A648">
        <v>1.0128740000000001</v>
      </c>
      <c r="B648">
        <v>4.0952970000000004</v>
      </c>
      <c r="C648">
        <f>LOG10(1.012874)</f>
        <v>5.5554231409416684E-3</v>
      </c>
      <c r="D648">
        <f>LOG10(4.095297)</f>
        <v>0.6122854032353523</v>
      </c>
    </row>
    <row r="649" spans="1:4">
      <c r="A649">
        <v>1.0135959999999999</v>
      </c>
      <c r="B649">
        <v>4.0901639999999997</v>
      </c>
      <c r="C649">
        <f>LOG10(1.013596)</f>
        <v>5.8648880026980817E-3</v>
      </c>
      <c r="D649">
        <f>LOG10(4.090164)</f>
        <v>0.6117407219112786</v>
      </c>
    </row>
    <row r="650" spans="1:4">
      <c r="A650">
        <v>1.009771</v>
      </c>
      <c r="B650">
        <v>4.3521280000000004</v>
      </c>
      <c r="C650">
        <f>LOG10(1.009771)</f>
        <v>4.22289386904642E-3</v>
      </c>
      <c r="D650">
        <f>LOG10(4.352128)</f>
        <v>0.63870165986939842</v>
      </c>
    </row>
    <row r="651" spans="1:4">
      <c r="A651">
        <v>1.013944</v>
      </c>
      <c r="B651">
        <v>4.4258699999999997</v>
      </c>
      <c r="C651">
        <f>LOG10(1.013944)</f>
        <v>6.0139696298782451E-3</v>
      </c>
      <c r="D651">
        <f>LOG10(4.42587)</f>
        <v>0.64599865335269258</v>
      </c>
    </row>
    <row r="652" spans="1:4">
      <c r="A652">
        <v>1.013158</v>
      </c>
      <c r="B652">
        <v>4.7409330000000001</v>
      </c>
      <c r="C652">
        <f>LOG10(1.013158)</f>
        <v>5.6771780131927903E-3</v>
      </c>
      <c r="D652">
        <f>LOG10(4.740933)</f>
        <v>0.67586381780874893</v>
      </c>
    </row>
    <row r="653" spans="1:4">
      <c r="A653">
        <v>1.0099659999999999</v>
      </c>
      <c r="B653">
        <v>4.8690610000000003</v>
      </c>
      <c r="C653">
        <f>LOG10(1.009966)</f>
        <v>4.3067537223186476E-3</v>
      </c>
      <c r="D653">
        <f>LOG10(4.869061)</f>
        <v>0.68744521545726189</v>
      </c>
    </row>
    <row r="654" spans="1:4">
      <c r="A654">
        <v>1.012621</v>
      </c>
      <c r="B654">
        <v>5.2483680000000001</v>
      </c>
      <c r="C654">
        <f>LOG10(1.012621)</f>
        <v>5.4469296571335356E-3</v>
      </c>
      <c r="D654">
        <f>LOG10(5.248368)</f>
        <v>0.72002427887639664</v>
      </c>
    </row>
    <row r="655" spans="1:4">
      <c r="A655">
        <v>1.0105820000000001</v>
      </c>
      <c r="B655">
        <v>5.0816420000000004</v>
      </c>
      <c r="C655">
        <f>LOG10(1.010582)</f>
        <v>4.5715585268972124E-3</v>
      </c>
      <c r="D655">
        <f>LOG10(5.081642)</f>
        <v>0.70600406588927</v>
      </c>
    </row>
    <row r="656" spans="1:4">
      <c r="A656">
        <v>1.0130159999999999</v>
      </c>
      <c r="B656">
        <v>4.9581879999999998</v>
      </c>
      <c r="C656">
        <f>LOG10(1.013016)</f>
        <v>5.6163048438289892E-3</v>
      </c>
      <c r="D656">
        <f>LOG10(4.958188)</f>
        <v>0.69532298992165009</v>
      </c>
    </row>
    <row r="657" spans="1:4">
      <c r="A657">
        <v>1.0115810000000001</v>
      </c>
      <c r="B657">
        <v>5.1889260000000004</v>
      </c>
      <c r="C657">
        <f>LOG10(1.011581)</f>
        <v>5.0006636215087557E-3</v>
      </c>
      <c r="D657">
        <f>LOG10(5.188926)</f>
        <v>0.71507747720469395</v>
      </c>
    </row>
    <row r="658" spans="1:4">
      <c r="A658">
        <v>1.0122420000000001</v>
      </c>
      <c r="B658">
        <v>5.3953790000000001</v>
      </c>
      <c r="C658">
        <f>LOG10(1.012242)</f>
        <v>5.2843531168308561E-3</v>
      </c>
      <c r="D658">
        <f>LOG10(5.395379)</f>
        <v>0.73202195723531538</v>
      </c>
    </row>
    <row r="659" spans="1:4">
      <c r="A659">
        <v>1.009155</v>
      </c>
      <c r="B659">
        <v>5.5117620000000001</v>
      </c>
      <c r="C659">
        <f>LOG10(1.009155)</f>
        <v>3.9578763209500252E-3</v>
      </c>
      <c r="D659">
        <f>LOG10(5.511762)</f>
        <v>0.74129045630191548</v>
      </c>
    </row>
    <row r="660" spans="1:4">
      <c r="A660">
        <v>1.0089760000000001</v>
      </c>
      <c r="B660">
        <v>5.2011450000000004</v>
      </c>
      <c r="C660">
        <f>LOG10(1.008976)</f>
        <v>3.8808360173577341E-3</v>
      </c>
      <c r="D660">
        <f>LOG10(5.201145)</f>
        <v>0.71609896141222429</v>
      </c>
    </row>
    <row r="661" spans="1:4">
      <c r="A661">
        <v>1.0106710000000001</v>
      </c>
      <c r="B661">
        <v>5.2611660000000002</v>
      </c>
      <c r="C661">
        <f>LOG10(1.010671)</f>
        <v>4.609804316923866E-3</v>
      </c>
      <c r="D661">
        <f>LOG10(5.261166)</f>
        <v>0.72108200484727292</v>
      </c>
    </row>
    <row r="662" spans="1:4">
      <c r="A662">
        <v>1.0096350000000001</v>
      </c>
      <c r="B662">
        <v>5.0236190000000001</v>
      </c>
      <c r="C662">
        <f>LOG10(1.009635)</f>
        <v>4.1643974105550615E-3</v>
      </c>
      <c r="D662">
        <f>LOG10(5.023619)</f>
        <v>0.70101669432944458</v>
      </c>
    </row>
    <row r="663" spans="1:4">
      <c r="A663">
        <v>1.0114129999999999</v>
      </c>
      <c r="B663">
        <v>5.3889230000000001</v>
      </c>
      <c r="C663">
        <f>LOG10(1.011413)</f>
        <v>4.9285314519348011E-3</v>
      </c>
      <c r="D663">
        <f>LOG10(5.388923)</f>
        <v>0.73150197819353613</v>
      </c>
    </row>
    <row r="664" spans="1:4">
      <c r="A664">
        <v>1.0806910000000001</v>
      </c>
      <c r="B664">
        <v>4.8145290000000003</v>
      </c>
      <c r="C664">
        <f>LOG10(1.080691)</f>
        <v>3.3701534676316466E-2</v>
      </c>
      <c r="D664">
        <f>LOG10(4.814529)</f>
        <v>0.68255380699404633</v>
      </c>
    </row>
    <row r="665" spans="1:4">
      <c r="A665">
        <v>1.086071</v>
      </c>
      <c r="B665">
        <v>5.3649760000000004</v>
      </c>
      <c r="C665">
        <f>LOG10(1.086071)</f>
        <v>3.5858217426220369E-2</v>
      </c>
      <c r="D665">
        <f>LOG10(5.364976)</f>
        <v>0.72956778350777063</v>
      </c>
    </row>
    <row r="666" spans="1:4">
      <c r="A666">
        <v>1.09459</v>
      </c>
      <c r="B666">
        <v>5.168088</v>
      </c>
      <c r="C666">
        <f>LOG10(1.09459)</f>
        <v>3.9251476179355614E-2</v>
      </c>
      <c r="D666">
        <f>LOG10(5.168088)</f>
        <v>0.71332990003134389</v>
      </c>
    </row>
    <row r="667" spans="1:4">
      <c r="A667">
        <v>1.093029</v>
      </c>
      <c r="B667">
        <v>5.2719750000000003</v>
      </c>
      <c r="C667">
        <f>LOG10(1.093029)</f>
        <v>3.8631684706240739E-2</v>
      </c>
      <c r="D667">
        <f>LOG10(5.271975)</f>
        <v>0.72197334214213882</v>
      </c>
    </row>
    <row r="668" spans="1:4">
      <c r="A668">
        <v>1.0894379999999999</v>
      </c>
      <c r="B668">
        <v>5.197273</v>
      </c>
      <c r="C668">
        <f>LOG10(1.089438)</f>
        <v>3.7202519553315078E-2</v>
      </c>
      <c r="D668">
        <f>LOG10(5.197273)</f>
        <v>0.71577552984568216</v>
      </c>
    </row>
    <row r="669" spans="1:4">
      <c r="A669">
        <v>1.0774379999999999</v>
      </c>
      <c r="B669">
        <v>5.3073079999999999</v>
      </c>
      <c r="C669">
        <f>LOG10(1.077438)</f>
        <v>3.2392288547308121E-2</v>
      </c>
      <c r="D669">
        <f>LOG10(5.307308)</f>
        <v>0.72487429185380858</v>
      </c>
    </row>
    <row r="670" spans="1:4">
      <c r="A670">
        <v>1.0744309999999999</v>
      </c>
      <c r="B670">
        <v>5.0869879999999998</v>
      </c>
      <c r="C670">
        <f>LOG10(1.074431)</f>
        <v>3.1178530314712145E-2</v>
      </c>
      <c r="D670">
        <f>LOG10(5.086988)</f>
        <v>0.70646071314935555</v>
      </c>
    </row>
    <row r="671" spans="1:4">
      <c r="A671">
        <v>1.098236</v>
      </c>
      <c r="B671">
        <v>5.3823270000000001</v>
      </c>
      <c r="C671">
        <f>LOG10(1.098236)</f>
        <v>4.0695675710178125E-2</v>
      </c>
      <c r="D671">
        <f>LOG10(5.382327)</f>
        <v>0.73097007952611903</v>
      </c>
    </row>
    <row r="672" spans="1:4">
      <c r="A672">
        <v>1.091256</v>
      </c>
      <c r="B672">
        <v>5.1750059999999998</v>
      </c>
      <c r="C672">
        <f>LOG10(1.091256)</f>
        <v>3.7926644580501587E-2</v>
      </c>
      <c r="D672">
        <f>LOG10(5.175006)</f>
        <v>0.71391085765849749</v>
      </c>
    </row>
    <row r="673" spans="1:4">
      <c r="A673">
        <v>1.104382</v>
      </c>
      <c r="B673">
        <v>5.1554260000000003</v>
      </c>
      <c r="C673">
        <f>LOG10(1.104382)</f>
        <v>4.3119319585860238E-2</v>
      </c>
      <c r="D673">
        <f>LOG10(5.155426)</f>
        <v>0.7122645574576123</v>
      </c>
    </row>
    <row r="674" spans="1:4">
      <c r="A674">
        <v>1.0909489999999999</v>
      </c>
      <c r="B674">
        <v>5.0151060000000003</v>
      </c>
      <c r="C674">
        <f>LOG10(1.090949)</f>
        <v>3.7804448538586249E-2</v>
      </c>
      <c r="D674">
        <f>LOG10(5.015106)</f>
        <v>0.70028011676392943</v>
      </c>
    </row>
    <row r="675" spans="1:4">
      <c r="A675">
        <v>1.070333</v>
      </c>
      <c r="B675">
        <v>5.0079770000000003</v>
      </c>
      <c r="C675">
        <f>LOG10(1.070333)</f>
        <v>2.9518915594722479E-2</v>
      </c>
      <c r="D675">
        <f>LOG10(5.007977)</f>
        <v>0.69966232563447761</v>
      </c>
    </row>
    <row r="676" spans="1:4">
      <c r="A676">
        <v>1.073105</v>
      </c>
      <c r="B676">
        <v>4.6440859999999997</v>
      </c>
      <c r="C676">
        <f>LOG10(1.073105)</f>
        <v>3.0642218414760641E-2</v>
      </c>
      <c r="D676">
        <f>LOG10(4.644086)</f>
        <v>0.66690025348247528</v>
      </c>
    </row>
    <row r="677" spans="1:4">
      <c r="A677">
        <v>1.0678300000000001</v>
      </c>
      <c r="B677">
        <v>4.5943750000000003</v>
      </c>
      <c r="C677">
        <f>LOG10(1.06783)</f>
        <v>2.8502117918628229E-2</v>
      </c>
      <c r="D677">
        <f>LOG10(4.594375)</f>
        <v>0.66222644009367704</v>
      </c>
    </row>
    <row r="678" spans="1:4">
      <c r="A678">
        <v>1.0788340000000001</v>
      </c>
      <c r="B678">
        <v>4.4720930000000001</v>
      </c>
      <c r="C678">
        <f>LOG10(1.078834)</f>
        <v>3.2954625007126412E-2</v>
      </c>
      <c r="D678">
        <f>LOG10(4.472093)</f>
        <v>0.65051082640047164</v>
      </c>
    </row>
    <row r="679" spans="1:4">
      <c r="A679">
        <v>1.061728</v>
      </c>
      <c r="B679">
        <v>4.250311</v>
      </c>
      <c r="C679">
        <f>LOG10(1.061728)</f>
        <v>2.6013270766941154E-2</v>
      </c>
      <c r="D679">
        <f>LOG10(4.250311)</f>
        <v>0.62842070902497071</v>
      </c>
    </row>
    <row r="680" spans="1:4">
      <c r="A680">
        <v>1.0650029999999999</v>
      </c>
      <c r="B680">
        <v>3.9582630000000001</v>
      </c>
      <c r="C680">
        <f>LOG10(1.065003)</f>
        <v>2.7350831137771207E-2</v>
      </c>
      <c r="D680">
        <f>LOG10(3.958263)</f>
        <v>0.59750464678146864</v>
      </c>
    </row>
    <row r="681" spans="1:4">
      <c r="A681">
        <v>1.0601970000000001</v>
      </c>
      <c r="B681">
        <v>3.8626140000000002</v>
      </c>
      <c r="C681">
        <f>LOG10(1.060197)</f>
        <v>2.5386570985211479E-2</v>
      </c>
      <c r="D681">
        <f>LOG10(3.862614)</f>
        <v>0.58688131025562884</v>
      </c>
    </row>
    <row r="682" spans="1:4">
      <c r="A682">
        <v>1.0605789999999999</v>
      </c>
      <c r="B682">
        <v>3.499501</v>
      </c>
      <c r="C682">
        <f>LOG10(1.060579)</f>
        <v>2.5543023617532065E-2</v>
      </c>
      <c r="D682">
        <f>LOG10(3.499501)</f>
        <v>0.54400612195128262</v>
      </c>
    </row>
    <row r="683" spans="1:4">
      <c r="A683">
        <v>1.073639</v>
      </c>
      <c r="B683">
        <v>3.6061990000000002</v>
      </c>
      <c r="C683">
        <f>LOG10(1.073639)</f>
        <v>3.0858278884122275E-2</v>
      </c>
      <c r="D683">
        <f>LOG10(3.606199)</f>
        <v>0.55704968861413717</v>
      </c>
    </row>
    <row r="684" spans="1:4">
      <c r="A684">
        <v>1.0786260000000001</v>
      </c>
      <c r="B684">
        <v>3.6307649999999998</v>
      </c>
      <c r="C684">
        <f>LOG10(1.078626)</f>
        <v>3.2870884634173266E-2</v>
      </c>
      <c r="D684">
        <f>LOG10(3.630765)</f>
        <v>0.55999814026347083</v>
      </c>
    </row>
    <row r="685" spans="1:4">
      <c r="A685">
        <v>1.065048</v>
      </c>
      <c r="B685">
        <v>3.5104850000000001</v>
      </c>
      <c r="C685">
        <f>LOG10(1.065048)</f>
        <v>2.7369181169473344E-2</v>
      </c>
      <c r="D685">
        <f>LOG10(3.510485)</f>
        <v>0.54536712167174883</v>
      </c>
    </row>
    <row r="686" spans="1:4">
      <c r="A686">
        <v>1.070479</v>
      </c>
      <c r="B686">
        <v>3.4599009999999999</v>
      </c>
      <c r="C686">
        <f>LOG10(1.070479)</f>
        <v>2.9578151991431923E-2</v>
      </c>
      <c r="D686">
        <f>LOG10(3.459901)</f>
        <v>0.53906367226999508</v>
      </c>
    </row>
    <row r="687" spans="1:4">
      <c r="A687">
        <v>1.067129</v>
      </c>
      <c r="B687">
        <v>3.3715470000000001</v>
      </c>
      <c r="C687">
        <f>LOG10(1.067129)</f>
        <v>2.8216922331495427E-2</v>
      </c>
      <c r="D687">
        <f>LOG10(3.371547)</f>
        <v>0.52782921820170714</v>
      </c>
    </row>
    <row r="688" spans="1:4">
      <c r="A688">
        <v>1.0648610000000001</v>
      </c>
      <c r="B688">
        <v>3.416058</v>
      </c>
      <c r="C688">
        <f>LOG10(1.064861)</f>
        <v>2.7292921509248842E-2</v>
      </c>
      <c r="D688">
        <f>LOG10(3.416058)</f>
        <v>0.53352523580681266</v>
      </c>
    </row>
    <row r="689" spans="1:4">
      <c r="A689">
        <v>1.099021</v>
      </c>
      <c r="B689">
        <v>3.4589859999999999</v>
      </c>
      <c r="C689">
        <f>LOG10(1.099021)</f>
        <v>4.1005990964878711E-2</v>
      </c>
      <c r="D689">
        <f>LOG10(3.458986)</f>
        <v>0.53894880424186908</v>
      </c>
    </row>
    <row r="690" spans="1:4">
      <c r="A690">
        <v>1.0915220000000001</v>
      </c>
      <c r="B690">
        <v>3.3486259999999999</v>
      </c>
      <c r="C690">
        <f>LOG10(1.091522)</f>
        <v>3.8032493487498237E-2</v>
      </c>
      <c r="D690">
        <f>LOG10(3.348626)</f>
        <v>0.52486664494016944</v>
      </c>
    </row>
    <row r="691" spans="1:4">
      <c r="A691">
        <v>1.0959840000000001</v>
      </c>
      <c r="B691">
        <v>3.3556870000000001</v>
      </c>
      <c r="C691">
        <f>LOG10(1.095984)</f>
        <v>3.9804214036642839E-2</v>
      </c>
      <c r="D691">
        <f>LOG10(3.355687)</f>
        <v>0.52578144544860728</v>
      </c>
    </row>
    <row r="692" spans="1:4">
      <c r="A692">
        <v>1.201449</v>
      </c>
      <c r="B692">
        <v>3.6473439999999999</v>
      </c>
      <c r="C692">
        <f>LOG10(1.201449)</f>
        <v>7.9705340276273948E-2</v>
      </c>
      <c r="D692">
        <f>LOG10(3.647344)</f>
        <v>0.56197672581894575</v>
      </c>
    </row>
    <row r="693" spans="1:4">
      <c r="A693">
        <v>1.0979760000000001</v>
      </c>
      <c r="B693">
        <v>3.4110909999999999</v>
      </c>
      <c r="C693">
        <f>LOG10(1.097976)</f>
        <v>4.0592847234764709E-2</v>
      </c>
      <c r="D693">
        <f>LOG10(3.411091)</f>
        <v>0.53289330553190228</v>
      </c>
    </row>
    <row r="694" spans="1:4">
      <c r="A694">
        <v>1.0874539999999999</v>
      </c>
      <c r="B694">
        <v>3.4121779999999999</v>
      </c>
      <c r="C694">
        <f>LOG10(1.087454)</f>
        <v>3.6410895080750232E-2</v>
      </c>
      <c r="D694">
        <f>LOG10(3.412178)</f>
        <v>0.53303167853341304</v>
      </c>
    </row>
    <row r="695" spans="1:4">
      <c r="A695">
        <v>1.355362</v>
      </c>
      <c r="B695">
        <v>3.4476589999999998</v>
      </c>
      <c r="C695">
        <f>LOG10(1.355362)</f>
        <v>0.13205530525143291</v>
      </c>
      <c r="D695">
        <f>LOG10(3.447659)</f>
        <v>0.53752430421128128</v>
      </c>
    </row>
    <row r="696" spans="1:4">
      <c r="A696">
        <v>1.0681909999999999</v>
      </c>
      <c r="B696">
        <v>3.4910000000000001</v>
      </c>
      <c r="C696">
        <f>LOG10(1.068191)</f>
        <v>2.8648914517968502E-2</v>
      </c>
      <c r="D696">
        <f>LOG10(3.491)</f>
        <v>0.54294984881417885</v>
      </c>
    </row>
    <row r="697" spans="1:4">
      <c r="A697">
        <v>1.086417</v>
      </c>
      <c r="B697">
        <v>3.3765489999999998</v>
      </c>
      <c r="C697">
        <f>LOG10(1.086417)</f>
        <v>3.5996552728425966E-2</v>
      </c>
      <c r="D697">
        <f>LOG10(3.376549)</f>
        <v>0.5284730565218323</v>
      </c>
    </row>
    <row r="698" spans="1:4">
      <c r="A698">
        <v>1.1016550000000001</v>
      </c>
      <c r="B698">
        <v>3.3091740000000001</v>
      </c>
      <c r="C698">
        <f>LOG10(1.101655)</f>
        <v>4.2045609892510112E-2</v>
      </c>
      <c r="D698">
        <f>LOG10(3.309174)</f>
        <v>0.51971960344063639</v>
      </c>
    </row>
    <row r="699" spans="1:4">
      <c r="A699">
        <v>1.0783130000000001</v>
      </c>
      <c r="B699">
        <v>3.3792330000000002</v>
      </c>
      <c r="C699">
        <f>LOG10(1.078313)</f>
        <v>3.2744841038327602E-2</v>
      </c>
      <c r="D699">
        <f>LOG10(3.379233)</f>
        <v>0.52881813765404062</v>
      </c>
    </row>
    <row r="700" spans="1:4">
      <c r="A700">
        <v>1.084557</v>
      </c>
      <c r="B700">
        <v>3.4975619999999998</v>
      </c>
      <c r="C700">
        <f>LOG10(1.084557)</f>
        <v>3.5252381739746944E-2</v>
      </c>
      <c r="D700">
        <f>LOG10(3.497562)</f>
        <v>0.54376542181124776</v>
      </c>
    </row>
    <row r="701" spans="1:4">
      <c r="A701">
        <v>1.0919700000000001</v>
      </c>
      <c r="B701">
        <v>3.5740249999999998</v>
      </c>
      <c r="C701">
        <f>LOG10(1.09197)</f>
        <v>3.8210707037740557E-2</v>
      </c>
      <c r="D701">
        <f>LOG10(3.574025)</f>
        <v>0.5531575860331045</v>
      </c>
    </row>
    <row r="702" spans="1:4">
      <c r="A702">
        <v>1.099081</v>
      </c>
      <c r="B702">
        <v>3.4914350000000001</v>
      </c>
      <c r="C702">
        <f>LOG10(1.099081)</f>
        <v>4.102970020941845E-2</v>
      </c>
      <c r="D702">
        <f>LOG10(3.491435)</f>
        <v>0.54300396119757299</v>
      </c>
    </row>
    <row r="703" spans="1:4">
      <c r="A703">
        <v>1.0777620000000001</v>
      </c>
      <c r="B703">
        <v>3.6958139999999999</v>
      </c>
      <c r="C703">
        <f>LOG10(1.077762)</f>
        <v>3.2522867067349678E-2</v>
      </c>
      <c r="D703">
        <f>LOG10(3.695814)</f>
        <v>0.56771010626931229</v>
      </c>
    </row>
    <row r="704" spans="1:4">
      <c r="A704">
        <v>1.0707599999999999</v>
      </c>
      <c r="B704">
        <v>3.5955020000000002</v>
      </c>
      <c r="C704">
        <f>LOG10(1.07076)</f>
        <v>2.9692139033621397E-2</v>
      </c>
      <c r="D704">
        <f>LOG10(3.595502)</f>
        <v>0.55575953466595096</v>
      </c>
    </row>
    <row r="705" spans="1:4">
      <c r="A705">
        <v>1.084973</v>
      </c>
      <c r="B705">
        <v>3.6268720000000001</v>
      </c>
      <c r="C705">
        <f>LOG10(1.084973)</f>
        <v>3.5418930721955913E-2</v>
      </c>
      <c r="D705">
        <f>LOG10(3.626872)</f>
        <v>0.5595322286781429</v>
      </c>
    </row>
    <row r="706" spans="1:4">
      <c r="A706">
        <v>1.0664</v>
      </c>
      <c r="B706">
        <v>3.6160030000000001</v>
      </c>
      <c r="C706">
        <f>LOG10(1.0664)</f>
        <v>2.7920136405802799E-2</v>
      </c>
      <c r="D706">
        <f>LOG10(3.616003)</f>
        <v>0.55822878211386362</v>
      </c>
    </row>
    <row r="707" spans="1:4">
      <c r="A707">
        <v>1.0677989999999999</v>
      </c>
      <c r="B707">
        <v>3.658296</v>
      </c>
      <c r="C707">
        <f>LOG10(1.067799)</f>
        <v>2.8489509802761666E-2</v>
      </c>
      <c r="D707">
        <f>LOG10(3.658296)</f>
        <v>0.56327884219174795</v>
      </c>
    </row>
    <row r="708" spans="1:4">
      <c r="A708">
        <v>1.072101</v>
      </c>
      <c r="B708">
        <v>3.6551619999999998</v>
      </c>
      <c r="C708">
        <f>LOG10(1.072101)</f>
        <v>3.0235701099717297E-2</v>
      </c>
      <c r="D708">
        <f>LOG10(3.655162)</f>
        <v>0.56290663003448982</v>
      </c>
    </row>
    <row r="709" spans="1:4">
      <c r="A709">
        <v>1.0711090000000001</v>
      </c>
      <c r="B709">
        <v>3.678776</v>
      </c>
      <c r="C709">
        <f>LOG10(1.071109)</f>
        <v>2.983366848806113E-2</v>
      </c>
      <c r="D709">
        <f>LOG10(3.678776)</f>
        <v>0.56570334452435156</v>
      </c>
    </row>
    <row r="710" spans="1:4">
      <c r="A710">
        <v>1.0763739999999999</v>
      </c>
      <c r="B710">
        <v>3.5810399999999998</v>
      </c>
      <c r="C710">
        <f>LOG10(1.076374)</f>
        <v>3.1963198760144661E-2</v>
      </c>
      <c r="D710">
        <f>LOG10(3.58104)</f>
        <v>0.55400917208206624</v>
      </c>
    </row>
    <row r="711" spans="1:4">
      <c r="A711">
        <v>1.0616669999999999</v>
      </c>
      <c r="B711">
        <v>3.655405</v>
      </c>
      <c r="C711">
        <f>LOG10(1.061667)</f>
        <v>2.5988318307880617E-2</v>
      </c>
      <c r="D711">
        <f>LOG10(3.655405)</f>
        <v>0.5629355015458628</v>
      </c>
    </row>
    <row r="712" spans="1:4">
      <c r="A712">
        <v>1.041253</v>
      </c>
      <c r="B712">
        <v>2.1461009999999998</v>
      </c>
      <c r="C712">
        <f>LOG10(1.041253)</f>
        <v>1.7556265681656781E-2</v>
      </c>
      <c r="D712">
        <f>LOG10(2.146101)</f>
        <v>0.33165015691720917</v>
      </c>
    </row>
    <row r="713" spans="1:4">
      <c r="A713">
        <v>1.0116080000000001</v>
      </c>
      <c r="B713">
        <v>4.8470659999999999</v>
      </c>
      <c r="C713">
        <f>LOG10(1.011608)</f>
        <v>5.0122551742624363E-3</v>
      </c>
      <c r="D713">
        <f>LOG10(4.847066)</f>
        <v>0.68547893332718612</v>
      </c>
    </row>
    <row r="714" spans="1:4">
      <c r="A714">
        <v>1.009449</v>
      </c>
      <c r="B714">
        <v>4.8367639999999996</v>
      </c>
      <c r="C714">
        <f>LOG10(1.009449)</f>
        <v>4.0843821423814566E-3</v>
      </c>
      <c r="D714">
        <f>LOG10(4.836764)</f>
        <v>0.68455489739503594</v>
      </c>
    </row>
    <row r="715" spans="1:4">
      <c r="A715">
        <v>1.009981</v>
      </c>
      <c r="B715">
        <v>4.5049609999999998</v>
      </c>
      <c r="C715">
        <f>LOG10(1.009981)</f>
        <v>4.3132038096018403E-3</v>
      </c>
      <c r="D715">
        <f>LOG10(4.504961)</f>
        <v>0.65369103559075126</v>
      </c>
    </row>
    <row r="716" spans="1:4">
      <c r="A716">
        <v>1.0099670000000001</v>
      </c>
      <c r="B716">
        <v>4.5805179999999996</v>
      </c>
      <c r="C716">
        <f>LOG10(1.009967)</f>
        <v>4.3071837311179145E-3</v>
      </c>
      <c r="D716">
        <f>LOG10(4.580518)</f>
        <v>0.66091459412194586</v>
      </c>
    </row>
    <row r="717" spans="1:4">
      <c r="A717">
        <v>1.012135</v>
      </c>
      <c r="B717">
        <v>4.3430689999999998</v>
      </c>
      <c r="C717">
        <f>LOG10(1.012135)</f>
        <v>5.2384431804830744E-3</v>
      </c>
      <c r="D717">
        <f>LOG10(4.343069)</f>
        <v>0.6377967292197485</v>
      </c>
    </row>
    <row r="718" spans="1:4">
      <c r="A718">
        <v>1.009819</v>
      </c>
      <c r="B718">
        <v>3.890876</v>
      </c>
      <c r="C718">
        <f>LOG10(1.009819)</f>
        <v>4.2435377969083157E-3</v>
      </c>
      <c r="D718">
        <f>LOG10(3.890876)</f>
        <v>0.59004739030673115</v>
      </c>
    </row>
    <row r="719" spans="1:4">
      <c r="A719">
        <v>1.0108239999999999</v>
      </c>
      <c r="B719">
        <v>3.8196789999999998</v>
      </c>
      <c r="C719">
        <f>LOG10(1.010824)</f>
        <v>4.6755448266535575E-3</v>
      </c>
      <c r="D719">
        <f>LOG10(3.819679)</f>
        <v>0.58202686699904715</v>
      </c>
    </row>
    <row r="720" spans="1:4">
      <c r="A720">
        <v>1.0103310000000001</v>
      </c>
      <c r="B720">
        <v>3.5844299999999998</v>
      </c>
      <c r="C720">
        <f>LOG10(1.010331)</f>
        <v>4.4636786572360898E-3</v>
      </c>
      <c r="D720">
        <f>LOG10(3.58443)</f>
        <v>0.55442010350833559</v>
      </c>
    </row>
    <row r="721" spans="1:4">
      <c r="A721">
        <v>1.025747</v>
      </c>
      <c r="B721">
        <v>3.6634310000000001</v>
      </c>
      <c r="C721">
        <f>LOG10(1.025747)</f>
        <v>1.1040255460689477E-2</v>
      </c>
      <c r="D721">
        <f>LOG10(3.663431)</f>
        <v>0.56388801610118666</v>
      </c>
    </row>
    <row r="722" spans="1:4">
      <c r="A722">
        <v>1.014815</v>
      </c>
      <c r="B722">
        <v>3.5180630000000002</v>
      </c>
      <c r="C722">
        <f>LOG10(1.014815)</f>
        <v>6.3868779122112961E-3</v>
      </c>
      <c r="D722">
        <f>LOG10(3.518063)</f>
        <v>0.54630361235492109</v>
      </c>
    </row>
    <row r="723" spans="1:4">
      <c r="A723">
        <v>1.0139370000000001</v>
      </c>
      <c r="B723">
        <v>3.5295860000000001</v>
      </c>
      <c r="C723">
        <f>LOG10(1.013937)</f>
        <v>6.0109713658052762E-3</v>
      </c>
      <c r="D723">
        <f>LOG10(3.529586)</f>
        <v>0.54772376814710788</v>
      </c>
    </row>
    <row r="724" spans="1:4">
      <c r="A724">
        <v>1.01878</v>
      </c>
      <c r="B724">
        <v>3.4061219999999999</v>
      </c>
      <c r="C724">
        <f>LOG10(1.01878)</f>
        <v>8.080410599689735E-3</v>
      </c>
      <c r="D724">
        <f>LOG10(3.406122)</f>
        <v>0.53226019940400304</v>
      </c>
    </row>
    <row r="725" spans="1:4">
      <c r="A725">
        <v>1.0173220000000001</v>
      </c>
      <c r="B725">
        <v>3.4160879999999998</v>
      </c>
      <c r="C725">
        <f>LOG10(1.017322)</f>
        <v>7.4584363932480224E-3</v>
      </c>
      <c r="D725">
        <f>LOG10(3.416088)</f>
        <v>0.53352904978691695</v>
      </c>
    </row>
    <row r="726" spans="1:4">
      <c r="A726">
        <v>1.0154650000000001</v>
      </c>
      <c r="B726">
        <v>3.450761</v>
      </c>
      <c r="C726">
        <f>LOG10(1.015465)</f>
        <v>6.6649591846287834E-3</v>
      </c>
      <c r="D726">
        <f>LOG10(3.450761)</f>
        <v>0.53791488106037555</v>
      </c>
    </row>
    <row r="727" spans="1:4">
      <c r="A727">
        <v>1.0159279999999999</v>
      </c>
      <c r="B727">
        <v>3.4161049999999999</v>
      </c>
      <c r="C727">
        <f>LOG10(1.015928)</f>
        <v>6.8629300830251724E-3</v>
      </c>
      <c r="D727">
        <f>LOG10(3.416105)</f>
        <v>0.53353121102744183</v>
      </c>
    </row>
    <row r="728" spans="1:4">
      <c r="A728">
        <v>1.01877</v>
      </c>
      <c r="B728">
        <v>3.3949280000000002</v>
      </c>
      <c r="C728">
        <f>LOG10(1.01877)</f>
        <v>8.0761476909816353E-3</v>
      </c>
      <c r="D728">
        <f>LOG10(3.394928)</f>
        <v>0.53083056814987106</v>
      </c>
    </row>
    <row r="729" spans="1:4">
      <c r="A729">
        <v>1.017191</v>
      </c>
      <c r="B729">
        <v>3.3127450000000001</v>
      </c>
      <c r="C729">
        <f>LOG10(1.017191)</f>
        <v>7.4025089283382434E-3</v>
      </c>
      <c r="D729">
        <f>LOG10(3.312745)</f>
        <v>0.52018800716022684</v>
      </c>
    </row>
    <row r="730" spans="1:4">
      <c r="A730">
        <v>1.037191</v>
      </c>
      <c r="B730">
        <v>3.740189</v>
      </c>
      <c r="C730">
        <f>LOG10(1.037191)</f>
        <v>1.5858739617468785E-2</v>
      </c>
      <c r="D730">
        <f>LOG10(3.740189)</f>
        <v>0.57289354861309005</v>
      </c>
    </row>
    <row r="731" spans="1:4">
      <c r="A731">
        <v>1.0157910000000001</v>
      </c>
      <c r="B731">
        <v>3.3381970000000001</v>
      </c>
      <c r="C731">
        <f>LOG10(1.015791)</f>
        <v>6.804360621292669E-3</v>
      </c>
      <c r="D731">
        <f>LOG10(3.338197)</f>
        <v>0.52351196250751453</v>
      </c>
    </row>
    <row r="732" spans="1:4">
      <c r="A732">
        <v>1.023304</v>
      </c>
      <c r="B732">
        <v>3.4129130000000001</v>
      </c>
      <c r="C732">
        <f>LOG10(1.023304)</f>
        <v>1.0004671747046336E-2</v>
      </c>
      <c r="D732">
        <f>LOG10(3.412913)</f>
        <v>0.53312521763653498</v>
      </c>
    </row>
    <row r="733" spans="1:4">
      <c r="A733">
        <v>1.0291589999999999</v>
      </c>
      <c r="B733">
        <v>3.4181149999999998</v>
      </c>
      <c r="C733">
        <f>LOG10(1.029159)</f>
        <v>1.2482476305860779E-2</v>
      </c>
      <c r="D733">
        <f>LOG10(3.418115)</f>
        <v>0.53378667015336834</v>
      </c>
    </row>
    <row r="734" spans="1:4">
      <c r="A734">
        <v>1.01884</v>
      </c>
      <c r="B734">
        <v>3.5144929999999999</v>
      </c>
      <c r="C734">
        <f>LOG10(1.01884)</f>
        <v>8.1059871732625365E-3</v>
      </c>
      <c r="D734">
        <f>LOG10(3.514493)</f>
        <v>0.54586268264641247</v>
      </c>
    </row>
    <row r="735" spans="1:4">
      <c r="A735">
        <v>1.0206029999999999</v>
      </c>
      <c r="B735">
        <v>3.3427199999999999</v>
      </c>
      <c r="C735">
        <f>LOG10(1.020603)</f>
        <v>8.8568405801150631E-3</v>
      </c>
      <c r="D735">
        <f>LOG10(3.34272)</f>
        <v>0.52409999982088085</v>
      </c>
    </row>
    <row r="736" spans="1:4">
      <c r="A736">
        <v>1.015989</v>
      </c>
      <c r="B736">
        <v>3.3988320000000001</v>
      </c>
      <c r="C736">
        <f>LOG10(1.015989)</f>
        <v>6.8890059152605402E-3</v>
      </c>
      <c r="D736">
        <f>LOG10(3.398832)</f>
        <v>0.53132969848240452</v>
      </c>
    </row>
    <row r="737" spans="1:4">
      <c r="A737">
        <v>1.016993</v>
      </c>
      <c r="B737">
        <v>3.4248289999999999</v>
      </c>
      <c r="C737">
        <f>LOG10(1.016993)</f>
        <v>7.3179636682355409E-3</v>
      </c>
      <c r="D737">
        <f>LOG10(3.424829)</f>
        <v>0.53463889226337413</v>
      </c>
    </row>
    <row r="738" spans="1:4">
      <c r="A738">
        <v>1.0143610000000001</v>
      </c>
      <c r="B738">
        <v>3.701362</v>
      </c>
      <c r="C738">
        <f>LOG10(1.014361)</f>
        <v>6.1925431693659041E-3</v>
      </c>
      <c r="D738">
        <f>LOG10(3.701362)</f>
        <v>0.5683615619700807</v>
      </c>
    </row>
    <row r="739" spans="1:4">
      <c r="A739">
        <v>1.0215240000000001</v>
      </c>
      <c r="B739">
        <v>3.608673</v>
      </c>
      <c r="C739">
        <f>LOG10(1.021524)</f>
        <v>9.2485745368691211E-3</v>
      </c>
      <c r="D739">
        <f>LOG10(3.608673)</f>
        <v>0.55734753023636985</v>
      </c>
    </row>
    <row r="740" spans="1:4">
      <c r="A740">
        <v>1.0181880000000001</v>
      </c>
      <c r="B740">
        <v>3.6236440000000001</v>
      </c>
      <c r="C740">
        <f>LOG10(1.018188)</f>
        <v>7.8279742918779486E-3</v>
      </c>
      <c r="D740">
        <f>LOG10(3.623644)</f>
        <v>0.5591455244269673</v>
      </c>
    </row>
    <row r="741" spans="1:4">
      <c r="A741">
        <v>1.0158229999999999</v>
      </c>
      <c r="B741">
        <v>3.7476850000000002</v>
      </c>
      <c r="C741">
        <f>LOG10(1.015823)</f>
        <v>6.8180417865356443E-3</v>
      </c>
      <c r="D741">
        <f>LOG10(3.747685)</f>
        <v>0.57376308047857316</v>
      </c>
    </row>
    <row r="742" spans="1:4">
      <c r="A742">
        <v>1.015566</v>
      </c>
      <c r="B742">
        <v>3.88497</v>
      </c>
      <c r="C742">
        <f>LOG10(1.015566)</f>
        <v>6.7081527574578978E-3</v>
      </c>
      <c r="D742">
        <f>LOG10(3.88497)</f>
        <v>0.58938766949864174</v>
      </c>
    </row>
    <row r="743" spans="1:4">
      <c r="A743">
        <v>1.01509</v>
      </c>
      <c r="B743">
        <v>3.7597779999999998</v>
      </c>
      <c r="C743">
        <f>LOG10(1.01509)</f>
        <v>6.504549412359388E-3</v>
      </c>
      <c r="D743">
        <f>LOG10(3.759778)</f>
        <v>0.57516220231560244</v>
      </c>
    </row>
    <row r="744" spans="1:4">
      <c r="A744">
        <v>1.013747</v>
      </c>
      <c r="B744">
        <v>3.9123420000000002</v>
      </c>
      <c r="C744">
        <f>LOG10(1.013747)</f>
        <v>5.9295820055270676E-3</v>
      </c>
      <c r="D744">
        <f>LOG10(3.912342)</f>
        <v>0.59243681191841491</v>
      </c>
    </row>
    <row r="745" spans="1:4">
      <c r="A745">
        <v>1.0144489999999999</v>
      </c>
      <c r="B745">
        <v>3.7886790000000001</v>
      </c>
      <c r="C745">
        <f>LOG10(1.014449)</f>
        <v>6.2302183724962075E-3</v>
      </c>
      <c r="D745">
        <f>LOG10(3.788679)</f>
        <v>0.57848781075551714</v>
      </c>
    </row>
    <row r="746" spans="1:4">
      <c r="A746">
        <v>1.0150239999999999</v>
      </c>
      <c r="B746">
        <v>3.8824839999999998</v>
      </c>
      <c r="C746">
        <f>LOG10(1.015024)</f>
        <v>6.4763111599107411E-3</v>
      </c>
      <c r="D746">
        <f>LOG10(3.882484)</f>
        <v>0.58910967464501895</v>
      </c>
    </row>
    <row r="747" spans="1:4">
      <c r="A747">
        <v>1.013612</v>
      </c>
      <c r="B747">
        <v>3.826835</v>
      </c>
      <c r="C747">
        <f>LOG10(1.013612)</f>
        <v>5.8717434528646195E-3</v>
      </c>
      <c r="D747">
        <f>LOG10(3.826835)</f>
        <v>0.58283973733964745</v>
      </c>
    </row>
    <row r="748" spans="1:4">
      <c r="A748">
        <v>1.013504</v>
      </c>
      <c r="B748">
        <v>3.830743</v>
      </c>
      <c r="C748">
        <f>LOG10(1.013504)</f>
        <v>5.8254670640541821E-3</v>
      </c>
      <c r="D748">
        <f>LOG10(3.830743)</f>
        <v>0.58328301665919879</v>
      </c>
    </row>
    <row r="749" spans="1:4">
      <c r="A749">
        <v>1.0111680000000001</v>
      </c>
      <c r="B749">
        <v>3.5319470000000002</v>
      </c>
      <c r="C749">
        <f>LOG10(1.011168)</f>
        <v>4.8233172245820905E-3</v>
      </c>
      <c r="D749">
        <f>LOG10(3.531947)</f>
        <v>0.54801417798020824</v>
      </c>
    </row>
    <row r="750" spans="1:4">
      <c r="A750">
        <v>1.010324</v>
      </c>
      <c r="B750">
        <v>4.9567690000000004</v>
      </c>
      <c r="C750">
        <f>LOG10(1.010324)</f>
        <v>4.4606696711663512E-3</v>
      </c>
      <c r="D750">
        <f>LOG10(4.956769)</f>
        <v>0.69519867997778884</v>
      </c>
    </row>
    <row r="751" spans="1:4">
      <c r="A751">
        <v>1.0107649999999999</v>
      </c>
      <c r="B751">
        <v>5.562468</v>
      </c>
      <c r="C751">
        <f>LOG10(1.010765)</f>
        <v>4.6501950899468575E-3</v>
      </c>
      <c r="D751">
        <f>LOG10(5.562468)</f>
        <v>0.74526752556860232</v>
      </c>
    </row>
    <row r="752" spans="1:4">
      <c r="A752">
        <v>1.010939</v>
      </c>
      <c r="B752">
        <v>5.5134040000000004</v>
      </c>
      <c r="C752">
        <f>LOG10(1.010939)</f>
        <v>4.7249510780022815E-3</v>
      </c>
      <c r="D752">
        <f>LOG10(5.513404)</f>
        <v>0.74141981699264037</v>
      </c>
    </row>
    <row r="753" spans="1:4">
      <c r="A753">
        <v>1.0122370000000001</v>
      </c>
      <c r="B753">
        <v>5.4057519999999997</v>
      </c>
      <c r="C753">
        <f>LOG10(1.012237)</f>
        <v>5.2822079007930163E-3</v>
      </c>
      <c r="D753">
        <f>LOG10(5.405752)</f>
        <v>0.73285611766643033</v>
      </c>
    </row>
    <row r="754" spans="1:4">
      <c r="A754">
        <v>1.0127679999999999</v>
      </c>
      <c r="B754">
        <v>5.4608230000000004</v>
      </c>
      <c r="C754">
        <f>LOG10(1.012768)</f>
        <v>5.5099706719231208E-3</v>
      </c>
      <c r="D754">
        <f>LOG10(5.460823)</f>
        <v>0.73725810010831994</v>
      </c>
    </row>
    <row r="755" spans="1:4">
      <c r="A755">
        <v>1.0104070000000001</v>
      </c>
      <c r="B755">
        <v>5.5416489999999996</v>
      </c>
      <c r="C755">
        <f>LOG10(1.010407)</f>
        <v>4.4963463070157193E-3</v>
      </c>
      <c r="D755">
        <f>LOG10(5.541649)</f>
        <v>0.74363901473552596</v>
      </c>
    </row>
    <row r="756" spans="1:4">
      <c r="A756">
        <v>1.009315</v>
      </c>
      <c r="B756">
        <v>5.2390230000000004</v>
      </c>
      <c r="C756">
        <f>LOG10(1.009315)</f>
        <v>4.0267275966687941E-3</v>
      </c>
      <c r="D756">
        <f>LOG10(5.239023)</f>
        <v>0.71925030506202481</v>
      </c>
    </row>
    <row r="757" spans="1:4">
      <c r="A757">
        <v>1.01203</v>
      </c>
      <c r="B757">
        <v>5.5926010000000002</v>
      </c>
      <c r="C757">
        <f>LOG10(1.01203)</f>
        <v>5.1933866553077529E-3</v>
      </c>
      <c r="D757">
        <f>LOG10(5.592601)</f>
        <v>0.74761383601347542</v>
      </c>
    </row>
    <row r="758" spans="1:4">
      <c r="A758">
        <v>1.011814</v>
      </c>
      <c r="B758">
        <v>5.3518739999999996</v>
      </c>
      <c r="C758">
        <f>LOG10(1.011814)</f>
        <v>5.1006842449962068E-3</v>
      </c>
      <c r="D758">
        <f>LOG10(5.351874)</f>
        <v>0.72850588021775087</v>
      </c>
    </row>
    <row r="759" spans="1:4">
      <c r="A759">
        <v>1.0114639999999999</v>
      </c>
      <c r="B759">
        <v>5.465471</v>
      </c>
      <c r="C759">
        <f>LOG10(1.011464)</f>
        <v>4.9504299841557605E-3</v>
      </c>
      <c r="D759">
        <f>LOG10(5.465471)</f>
        <v>0.73762759426135105</v>
      </c>
    </row>
    <row r="760" spans="1:4">
      <c r="A760">
        <v>1.0121279999999999</v>
      </c>
      <c r="B760">
        <v>5.033741</v>
      </c>
      <c r="C760">
        <f>LOG10(1.012128)</f>
        <v>5.2354395575611775E-3</v>
      </c>
      <c r="D760">
        <f>LOG10(5.033741)</f>
        <v>0.70189086612602558</v>
      </c>
    </row>
    <row r="761" spans="1:4">
      <c r="A761">
        <v>1.090314</v>
      </c>
      <c r="B761">
        <v>3.7014860000000001</v>
      </c>
      <c r="C761">
        <f>LOG10(1.090314)</f>
        <v>3.7551588609454283E-2</v>
      </c>
      <c r="D761">
        <f>LOG10(3.701486)</f>
        <v>0.5683761111046195</v>
      </c>
    </row>
    <row r="762" spans="1:4">
      <c r="A762">
        <v>1.085766</v>
      </c>
      <c r="B762">
        <v>3.796659</v>
      </c>
      <c r="C762">
        <f>LOG10(1.085766)</f>
        <v>3.573623790579479E-2</v>
      </c>
      <c r="D762">
        <f>LOG10(3.796659)</f>
        <v>0.57940159238110878</v>
      </c>
    </row>
    <row r="763" spans="1:4">
      <c r="A763">
        <v>1.0898859999999999</v>
      </c>
      <c r="B763">
        <v>3.565985</v>
      </c>
      <c r="C763">
        <f>LOG10(1.089886)</f>
        <v>3.7381073940485884E-2</v>
      </c>
      <c r="D763">
        <f>LOG10(3.565985)</f>
        <v>0.55217951202191295</v>
      </c>
    </row>
    <row r="764" spans="1:4">
      <c r="A764">
        <v>1.0927009999999999</v>
      </c>
      <c r="B764">
        <v>3.6877420000000001</v>
      </c>
      <c r="C764">
        <f>LOG10(1.092701)</f>
        <v>3.8501340527285793E-2</v>
      </c>
      <c r="D764">
        <f>LOG10(3.687742)</f>
        <v>0.56676052954651512</v>
      </c>
    </row>
    <row r="765" spans="1:4">
      <c r="A765">
        <v>1.0939950000000001</v>
      </c>
      <c r="B765">
        <v>3.6459860000000002</v>
      </c>
      <c r="C765">
        <f>LOG10(1.093995)</f>
        <v>3.9015337100362847E-2</v>
      </c>
      <c r="D765">
        <f>LOG10(3.645986)</f>
        <v>0.56181499670117918</v>
      </c>
    </row>
    <row r="766" spans="1:4">
      <c r="A766">
        <v>1.07277</v>
      </c>
      <c r="B766">
        <v>3.8421159999999999</v>
      </c>
      <c r="C766">
        <f>LOG10(1.07277)</f>
        <v>3.0506619973453948E-2</v>
      </c>
      <c r="D766">
        <f>LOG10(3.842116)</f>
        <v>0.58457047281078467</v>
      </c>
    </row>
    <row r="767" spans="1:4">
      <c r="A767">
        <v>1.090511</v>
      </c>
      <c r="B767">
        <v>3.7896450000000002</v>
      </c>
      <c r="C767">
        <f>LOG10(1.090511)</f>
        <v>3.7630050671442435E-2</v>
      </c>
      <c r="D767">
        <f>LOG10(3.789645)</f>
        <v>0.57859852876435147</v>
      </c>
    </row>
    <row r="768" spans="1:4">
      <c r="A768">
        <v>1.116536</v>
      </c>
      <c r="B768">
        <v>3.7732039999999998</v>
      </c>
      <c r="C768">
        <f>LOG10(1.116536)</f>
        <v>4.7872730407273925E-2</v>
      </c>
      <c r="D768">
        <f>LOG10(3.773204)</f>
        <v>0.57671028616555198</v>
      </c>
    </row>
    <row r="769" spans="1:4">
      <c r="A769">
        <v>1.1362829999999999</v>
      </c>
      <c r="B769">
        <v>3.5808209999999998</v>
      </c>
      <c r="C769">
        <f>LOG10(1.136283)</f>
        <v>5.5486509219937571E-2</v>
      </c>
      <c r="D769">
        <f>LOG10(3.580821)</f>
        <v>0.55398261180909625</v>
      </c>
    </row>
    <row r="770" spans="1:4">
      <c r="A770">
        <v>1.1063559999999999</v>
      </c>
      <c r="B770">
        <v>3.7239840000000002</v>
      </c>
      <c r="C770">
        <f>LOG10(1.106356)</f>
        <v>4.3894895466056877E-2</v>
      </c>
      <c r="D770">
        <f>LOG10(3.723984)</f>
        <v>0.57100780637841408</v>
      </c>
    </row>
    <row r="771" spans="1:4">
      <c r="A771">
        <v>1.1113280000000001</v>
      </c>
      <c r="B771">
        <v>3.7405240000000002</v>
      </c>
      <c r="C771">
        <f>LOG10(1.111328)</f>
        <v>4.5842256570649227E-2</v>
      </c>
      <c r="D771">
        <f>LOG10(3.740524)</f>
        <v>0.57293244561436119</v>
      </c>
    </row>
    <row r="772" spans="1:4">
      <c r="A772">
        <v>1.087275</v>
      </c>
      <c r="B772">
        <v>3.7973240000000001</v>
      </c>
      <c r="C772">
        <f>LOG10(1.087275)</f>
        <v>3.6339402299409469E-2</v>
      </c>
      <c r="D772">
        <f>LOG10(3.797324)</f>
        <v>0.57947765413452701</v>
      </c>
    </row>
    <row r="773" spans="1:4">
      <c r="A773">
        <v>1.076945</v>
      </c>
      <c r="B773">
        <v>3.5119899999999999</v>
      </c>
      <c r="C773">
        <f>LOG10(1.076945)</f>
        <v>3.2193524276223968E-2</v>
      </c>
      <c r="D773">
        <f>LOG10(3.51199)</f>
        <v>0.54555327063070447</v>
      </c>
    </row>
    <row r="774" spans="1:4">
      <c r="A774">
        <v>1.081904</v>
      </c>
      <c r="B774">
        <v>3.6228030000000002</v>
      </c>
      <c r="C774">
        <f>LOG10(1.081904)</f>
        <v>3.4188726463769858E-2</v>
      </c>
      <c r="D774">
        <f>LOG10(3.622803)</f>
        <v>0.55904471870495753</v>
      </c>
    </row>
    <row r="775" spans="1:4">
      <c r="A775">
        <v>1.074827</v>
      </c>
      <c r="B775">
        <v>3.4335089999999999</v>
      </c>
      <c r="C775">
        <f>LOG10(1.074827)</f>
        <v>3.1338567515252838E-2</v>
      </c>
      <c r="D775">
        <f>LOG10(3.433509)</f>
        <v>0.53573819011531643</v>
      </c>
    </row>
    <row r="776" spans="1:4">
      <c r="A776">
        <v>1.071933</v>
      </c>
      <c r="B776">
        <v>3.3977200000000001</v>
      </c>
      <c r="C776">
        <f>LOG10(1.071933)</f>
        <v>3.0167641103365516E-2</v>
      </c>
      <c r="D776">
        <f>LOG10(3.39772)</f>
        <v>0.53118758657972631</v>
      </c>
    </row>
    <row r="777" spans="1:4">
      <c r="A777">
        <v>1.0816939999999999</v>
      </c>
      <c r="B777">
        <v>3.4485549999999998</v>
      </c>
      <c r="C777">
        <f>LOG10(1.081694)</f>
        <v>3.4104420745714931E-2</v>
      </c>
      <c r="D777">
        <f>LOG10(3.448555)</f>
        <v>0.53763715681648605</v>
      </c>
    </row>
    <row r="778" spans="1:4">
      <c r="A778">
        <v>1.0748200000000001</v>
      </c>
      <c r="B778">
        <v>3.5803639999999999</v>
      </c>
      <c r="C778">
        <f>LOG10(1.07482)</f>
        <v>3.1335739086796183E-2</v>
      </c>
      <c r="D778">
        <f>LOG10(3.580364)</f>
        <v>0.55392718171519451</v>
      </c>
    </row>
    <row r="779" spans="1:4">
      <c r="A779">
        <v>1.0753330000000001</v>
      </c>
      <c r="B779">
        <v>3.4643480000000002</v>
      </c>
      <c r="C779">
        <f>LOG10(1.075333)</f>
        <v>3.1542973710047453E-2</v>
      </c>
      <c r="D779">
        <f>LOG10(3.464348)</f>
        <v>0.5396215111999807</v>
      </c>
    </row>
    <row r="780" spans="1:4">
      <c r="A780">
        <v>1.067334</v>
      </c>
      <c r="B780">
        <v>3.5158330000000002</v>
      </c>
      <c r="C780">
        <f>LOG10(1.067334)</f>
        <v>2.8300344128044646E-2</v>
      </c>
      <c r="D780">
        <f>LOG10(3.515833)</f>
        <v>0.54602823815914336</v>
      </c>
    </row>
    <row r="781" spans="1:4">
      <c r="A781">
        <v>1.071809</v>
      </c>
      <c r="B781">
        <v>3.4460739999999999</v>
      </c>
      <c r="C781">
        <f>LOG10(1.071809)</f>
        <v>3.0117399501702568E-2</v>
      </c>
      <c r="D781">
        <f>LOG10(3.446074)</f>
        <v>0.53732459912669317</v>
      </c>
    </row>
    <row r="782" spans="1:4">
      <c r="A782">
        <v>1.064322</v>
      </c>
      <c r="B782">
        <v>3.3801260000000002</v>
      </c>
      <c r="C782">
        <f>LOG10(1.064322)</f>
        <v>2.7073039300207848E-2</v>
      </c>
      <c r="D782">
        <f>LOG10(3.380126)</f>
        <v>0.52893288965185459</v>
      </c>
    </row>
    <row r="783" spans="1:4">
      <c r="A783">
        <v>1.0696140000000001</v>
      </c>
      <c r="B783">
        <v>3.3812920000000002</v>
      </c>
      <c r="C783">
        <f>LOG10(1.069614)</f>
        <v>2.9227078699473618E-2</v>
      </c>
      <c r="D783">
        <f>LOG10(3.381292)</f>
        <v>0.52908267698076072</v>
      </c>
    </row>
    <row r="784" spans="1:4">
      <c r="A784">
        <v>1.064387</v>
      </c>
      <c r="B784">
        <v>3.4824820000000001</v>
      </c>
      <c r="C784">
        <f>LOG10(1.064387)</f>
        <v>2.7099561611460796E-2</v>
      </c>
      <c r="D784">
        <f>LOG10(3.482482)</f>
        <v>0.54188888035203064</v>
      </c>
    </row>
    <row r="785" spans="1:4">
      <c r="A785">
        <v>1.062184</v>
      </c>
      <c r="B785">
        <v>3.5197569999999998</v>
      </c>
      <c r="C785">
        <f>LOG10(1.062184)</f>
        <v>2.6199755222785621E-2</v>
      </c>
      <c r="D785">
        <f>LOG10(3.519757)</f>
        <v>0.54651268131847852</v>
      </c>
    </row>
    <row r="786" spans="1:4">
      <c r="A786">
        <v>1.066765</v>
      </c>
      <c r="B786">
        <v>3.5580069999999999</v>
      </c>
      <c r="C786">
        <f>LOG10(1.066765)</f>
        <v>2.8068758277473928E-2</v>
      </c>
      <c r="D786">
        <f>LOG10(3.558007)</f>
        <v>0.55120679817690643</v>
      </c>
    </row>
    <row r="787" spans="1:4">
      <c r="A787">
        <v>1.0454600000000001</v>
      </c>
      <c r="B787">
        <v>3.8577409999999999</v>
      </c>
      <c r="C787">
        <f>LOG10(1.04546)</f>
        <v>1.9307421073729094E-2</v>
      </c>
      <c r="D787">
        <f>LOG10(3.857741)</f>
        <v>0.58633306673797692</v>
      </c>
    </row>
    <row r="788" spans="1:4">
      <c r="A788">
        <v>1.062295</v>
      </c>
      <c r="B788">
        <v>3.5528810000000002</v>
      </c>
      <c r="C788">
        <f>LOG10(1.062295)</f>
        <v>2.6245137349448312E-2</v>
      </c>
      <c r="D788">
        <f>LOG10(3.552881)</f>
        <v>0.55058066149753571</v>
      </c>
    </row>
    <row r="789" spans="1:4">
      <c r="A789">
        <v>1.0963080000000001</v>
      </c>
      <c r="B789">
        <v>3.463886</v>
      </c>
      <c r="C789">
        <f>LOG10(1.096308)</f>
        <v>3.9932583262239724E-2</v>
      </c>
      <c r="D789">
        <f>LOG10(3.463886)</f>
        <v>0.53956359050880986</v>
      </c>
    </row>
    <row r="790" spans="1:4">
      <c r="A790">
        <v>1.105545</v>
      </c>
      <c r="B790">
        <v>3.5387520000000001</v>
      </c>
      <c r="C790">
        <f>LOG10(1.105545)</f>
        <v>4.3576424756376235E-2</v>
      </c>
      <c r="D790">
        <f>LOG10(3.538752)</f>
        <v>0.54885012782387466</v>
      </c>
    </row>
    <row r="791" spans="1:4">
      <c r="A791">
        <v>1.0786849999999999</v>
      </c>
      <c r="B791">
        <v>3.5672860000000002</v>
      </c>
      <c r="C791">
        <f>LOG10(1.078685)</f>
        <v>3.2894639553550771E-2</v>
      </c>
      <c r="D791">
        <f>LOG10(3.567286)</f>
        <v>0.55233792942319249</v>
      </c>
    </row>
    <row r="792" spans="1:4">
      <c r="A792">
        <v>1.0807519999999999</v>
      </c>
      <c r="B792">
        <v>3.4920390000000001</v>
      </c>
      <c r="C792">
        <f>LOG10(1.080752)</f>
        <v>3.3726047895867549E-2</v>
      </c>
      <c r="D792">
        <f>LOG10(3.492039)</f>
        <v>0.54307908537437199</v>
      </c>
    </row>
    <row r="793" spans="1:4">
      <c r="A793">
        <v>1.0868599999999999</v>
      </c>
      <c r="B793">
        <v>3.583237</v>
      </c>
      <c r="C793">
        <f>LOG10(1.08686)</f>
        <v>3.6173605592048783E-2</v>
      </c>
      <c r="D793">
        <f>LOG10(3.583237)</f>
        <v>0.55427553392336604</v>
      </c>
    </row>
    <row r="794" spans="1:4">
      <c r="A794">
        <v>1.0871569999999999</v>
      </c>
      <c r="B794">
        <v>3.4611269999999998</v>
      </c>
      <c r="C794">
        <f>LOG10(1.087157)</f>
        <v>3.6292266542655598E-2</v>
      </c>
      <c r="D794">
        <f>LOG10(3.461127)</f>
        <v>0.53921753526271299</v>
      </c>
    </row>
    <row r="795" spans="1:4">
      <c r="A795">
        <v>1.039058</v>
      </c>
      <c r="B795">
        <v>3.506624</v>
      </c>
      <c r="C795">
        <f>LOG10(1.039058)</f>
        <v>1.6639790460847036E-2</v>
      </c>
      <c r="D795">
        <f>LOG10(3.506624)</f>
        <v>0.54488920087449555</v>
      </c>
    </row>
    <row r="796" spans="1:4">
      <c r="A796">
        <v>1.04592</v>
      </c>
      <c r="B796">
        <v>3.6840220000000001</v>
      </c>
      <c r="C796">
        <f>LOG10(1.04592)</f>
        <v>1.9498467621842822E-2</v>
      </c>
      <c r="D796">
        <f>LOG10(3.684022)</f>
        <v>0.56632221502374547</v>
      </c>
    </row>
    <row r="797" spans="1:4">
      <c r="A797">
        <v>1.04949</v>
      </c>
      <c r="B797">
        <v>3.4799660000000001</v>
      </c>
      <c r="C797">
        <f>LOG10(1.04949)</f>
        <v>2.0978304790253744E-2</v>
      </c>
      <c r="D797">
        <f>LOG10(3.479966)</f>
        <v>0.54157500081884591</v>
      </c>
    </row>
    <row r="798" spans="1:4">
      <c r="A798">
        <v>1.087056</v>
      </c>
      <c r="B798">
        <v>3.6423100000000002</v>
      </c>
      <c r="C798">
        <f>LOG10(1.087056)</f>
        <v>3.6251917466733653E-2</v>
      </c>
      <c r="D798">
        <f>LOG10(3.64231)</f>
        <v>0.56137690619254688</v>
      </c>
    </row>
    <row r="799" spans="1:4">
      <c r="A799">
        <v>1.1002829999999999</v>
      </c>
      <c r="B799">
        <v>3.7170909999999999</v>
      </c>
      <c r="C799">
        <f>LOG10(1.100283)</f>
        <v>4.1504402913674063E-2</v>
      </c>
      <c r="D799">
        <f>LOG10(3.717091)</f>
        <v>0.57020319341051873</v>
      </c>
    </row>
    <row r="800" spans="1:4">
      <c r="A800">
        <v>1.1064830000000001</v>
      </c>
      <c r="B800">
        <v>3.5627659999999999</v>
      </c>
      <c r="C800">
        <f>LOG10(1.106483)</f>
        <v>4.3944745816003133E-2</v>
      </c>
      <c r="D800">
        <f>LOG10(3.562766)</f>
        <v>0.55178729912732227</v>
      </c>
    </row>
    <row r="801" spans="1:4">
      <c r="A801">
        <v>1.096265</v>
      </c>
      <c r="B801">
        <v>3.580044</v>
      </c>
      <c r="C801">
        <f>LOG10(1.096265)</f>
        <v>3.9915548789294701E-2</v>
      </c>
      <c r="D801">
        <f>LOG10(3.580044)</f>
        <v>0.5538883643086161</v>
      </c>
    </row>
    <row r="802" spans="1:4">
      <c r="A802">
        <v>1.097785</v>
      </c>
      <c r="B802">
        <v>3.5283720000000001</v>
      </c>
      <c r="C802">
        <f>LOG10(1.097785)</f>
        <v>4.0517292339443442E-2</v>
      </c>
      <c r="D802">
        <f>LOG10(3.528372)</f>
        <v>0.54757436700127216</v>
      </c>
    </row>
    <row r="803" spans="1:4">
      <c r="A803">
        <v>1.0746880000000001</v>
      </c>
      <c r="B803">
        <v>3.6587239999999999</v>
      </c>
      <c r="C803">
        <f>LOG10(1.074688)</f>
        <v>3.1282399558231228E-2</v>
      </c>
      <c r="D803">
        <f>LOG10(3.658724)</f>
        <v>0.56332964922479323</v>
      </c>
    </row>
    <row r="804" spans="1:4">
      <c r="A804">
        <v>1.060289</v>
      </c>
      <c r="B804">
        <v>3.7875700000000001</v>
      </c>
      <c r="C804">
        <f>LOG10(1.060289)</f>
        <v>2.5424255829497328E-2</v>
      </c>
      <c r="D804">
        <f>LOG10(3.78757)</f>
        <v>0.57836066800087149</v>
      </c>
    </row>
    <row r="805" spans="1:4">
      <c r="A805">
        <v>1.1115550000000001</v>
      </c>
      <c r="B805">
        <v>3.6880549999999999</v>
      </c>
      <c r="C805">
        <f>LOG10(1.111555)</f>
        <v>4.5930956558669044E-2</v>
      </c>
      <c r="D805">
        <f>LOG10(3.688055)</f>
        <v>0.56679738906770782</v>
      </c>
    </row>
    <row r="806" spans="1:4">
      <c r="A806">
        <v>1.1172850000000001</v>
      </c>
      <c r="B806">
        <v>3.591326</v>
      </c>
      <c r="C806">
        <f>LOG10(1.117285)</f>
        <v>4.8163968227256646E-2</v>
      </c>
      <c r="D806">
        <f>LOG10(3.591326)</f>
        <v>0.55525482968051343</v>
      </c>
    </row>
    <row r="807" spans="1:4">
      <c r="A807">
        <v>1.1071899999999999</v>
      </c>
      <c r="B807">
        <v>3.5973320000000002</v>
      </c>
      <c r="C807">
        <f>LOG10(1.10719)</f>
        <v>4.4222154637581897E-2</v>
      </c>
      <c r="D807">
        <f>LOG10(3.597332)</f>
        <v>0.55598052097511119</v>
      </c>
    </row>
    <row r="808" spans="1:4">
      <c r="A808">
        <v>1.146725</v>
      </c>
      <c r="B808">
        <v>3.545131</v>
      </c>
      <c r="C808">
        <f>LOG10(1.146725)</f>
        <v>5.9459280759199089E-2</v>
      </c>
      <c r="D808">
        <f>LOG10(3.545131)</f>
        <v>0.54963228790440732</v>
      </c>
    </row>
    <row r="809" spans="1:4">
      <c r="A809">
        <v>1.0167470000000001</v>
      </c>
      <c r="B809">
        <v>3.9059900000000001</v>
      </c>
      <c r="C809">
        <f>LOG10(1.016747)</f>
        <v>7.2128996550684362E-3</v>
      </c>
      <c r="D809">
        <f>LOG10(3.90599)</f>
        <v>0.59173112708537923</v>
      </c>
    </row>
    <row r="810" spans="1:4">
      <c r="A810">
        <v>1.018831</v>
      </c>
      <c r="B810">
        <v>4.0093259999999997</v>
      </c>
      <c r="C810">
        <f>LOG10(1.018831)</f>
        <v>8.1021507832495041E-3</v>
      </c>
      <c r="D810">
        <f>LOG10(4.009326)</f>
        <v>0.60307137035503133</v>
      </c>
    </row>
    <row r="811" spans="1:4">
      <c r="A811">
        <v>1.0152939999999999</v>
      </c>
      <c r="B811">
        <v>3.781453</v>
      </c>
      <c r="C811">
        <f>LOG10(1.015294)</f>
        <v>6.5918196771037234E-3</v>
      </c>
      <c r="D811">
        <f>LOG10(3.781453)</f>
        <v>0.57765870688272902</v>
      </c>
    </row>
    <row r="812" spans="1:4">
      <c r="A812">
        <v>1.0160830000000001</v>
      </c>
      <c r="B812">
        <v>3.8528220000000002</v>
      </c>
      <c r="C812">
        <f>LOG10(1.016083)</f>
        <v>6.9291852802909528E-3</v>
      </c>
      <c r="D812">
        <f>LOG10(3.852822)</f>
        <v>0.58577894511383677</v>
      </c>
    </row>
    <row r="813" spans="1:4">
      <c r="A813">
        <v>1.027652</v>
      </c>
      <c r="B813">
        <v>3.7439110000000002</v>
      </c>
      <c r="C813">
        <f>LOG10(1.027652)</f>
        <v>1.1846071792909793E-2</v>
      </c>
      <c r="D813">
        <f>LOG10(3.743911)</f>
        <v>0.5733255161696188</v>
      </c>
    </row>
    <row r="814" spans="1:4">
      <c r="A814">
        <v>1.0153289999999999</v>
      </c>
      <c r="B814">
        <v>4.03451</v>
      </c>
      <c r="C814">
        <f>LOG10(1.015329)</f>
        <v>6.606790754323002E-3</v>
      </c>
      <c r="D814">
        <f>LOG10(4.03451)</f>
        <v>0.60579079625303811</v>
      </c>
    </row>
    <row r="815" spans="1:4">
      <c r="A815">
        <v>1.016613</v>
      </c>
      <c r="B815">
        <v>4.0254279999999998</v>
      </c>
      <c r="C815">
        <f>LOG10(1.016613)</f>
        <v>7.1556589690518766E-3</v>
      </c>
      <c r="D815">
        <f>LOG10(4.025428)</f>
        <v>0.60481206312779956</v>
      </c>
    </row>
    <row r="816" spans="1:4">
      <c r="A816">
        <v>1.02091</v>
      </c>
      <c r="B816">
        <v>3.8790930000000001</v>
      </c>
      <c r="C816">
        <f>LOG10(1.02091)</f>
        <v>8.987457830114785E-3</v>
      </c>
      <c r="D816">
        <f>LOG10(3.879093)</f>
        <v>0.58873019179460451</v>
      </c>
    </row>
    <row r="817" spans="1:4">
      <c r="A817">
        <v>1.022931</v>
      </c>
      <c r="B817">
        <v>3.8122669999999999</v>
      </c>
      <c r="C817">
        <f>LOG10(1.022931)</f>
        <v>9.8463401345540019E-3</v>
      </c>
      <c r="D817">
        <f>LOG10(3.812267)</f>
        <v>0.58118330974329357</v>
      </c>
    </row>
    <row r="818" spans="1:4">
      <c r="A818">
        <v>1.0173410000000001</v>
      </c>
      <c r="B818">
        <v>3.85053</v>
      </c>
      <c r="C818">
        <f>LOG10(1.017341)</f>
        <v>7.4665474122781001E-3</v>
      </c>
      <c r="D818">
        <f>LOG10(3.85053)</f>
        <v>0.58552051138735117</v>
      </c>
    </row>
    <row r="819" spans="1:4">
      <c r="A819">
        <v>1.0195529999999999</v>
      </c>
      <c r="B819">
        <v>3.8539590000000001</v>
      </c>
      <c r="C819">
        <f>LOG10(1.019553)</f>
        <v>8.4098068765539238E-3</v>
      </c>
      <c r="D819">
        <f>LOG10(3.853959)</f>
        <v>0.58590709014079589</v>
      </c>
    </row>
    <row r="820" spans="1:4">
      <c r="A820">
        <v>1.0147349999999999</v>
      </c>
      <c r="B820">
        <v>3.9637060000000002</v>
      </c>
      <c r="C820">
        <f>LOG10(1.014735)</f>
        <v>6.3526402156083165E-3</v>
      </c>
      <c r="D820">
        <f>LOG10(3.963706)</f>
        <v>0.59810143407941763</v>
      </c>
    </row>
    <row r="821" spans="1:4">
      <c r="A821">
        <v>1.0154650000000001</v>
      </c>
      <c r="B821">
        <v>3.628501</v>
      </c>
      <c r="C821">
        <f>LOG10(1.015465)</f>
        <v>6.6649591846287834E-3</v>
      </c>
      <c r="D821">
        <f>LOG10(3.628501)</f>
        <v>0.55972724710735622</v>
      </c>
    </row>
    <row r="822" spans="1:4">
      <c r="A822">
        <v>1.016492</v>
      </c>
      <c r="B822">
        <v>3.7910339999999998</v>
      </c>
      <c r="C822">
        <f>LOG10(1.016492)</f>
        <v>7.1039650010843065E-3</v>
      </c>
      <c r="D822">
        <f>LOG10(3.791034)</f>
        <v>0.57875767942674317</v>
      </c>
    </row>
    <row r="823" spans="1:4">
      <c r="A823">
        <v>1.01491</v>
      </c>
      <c r="B823">
        <v>3.5784440000000002</v>
      </c>
      <c r="C823">
        <f>LOG10(1.01491)</f>
        <v>6.4275316715244222E-3</v>
      </c>
      <c r="D823">
        <f>LOG10(3.578444)</f>
        <v>0.5536942252159428</v>
      </c>
    </row>
    <row r="824" spans="1:4">
      <c r="A824">
        <v>1.0206679999999999</v>
      </c>
      <c r="B824">
        <v>3.5309360000000001</v>
      </c>
      <c r="C824">
        <f>LOG10(1.020668)</f>
        <v>8.8844989766074887E-3</v>
      </c>
      <c r="D824">
        <f>LOG10(3.530936)</f>
        <v>0.54788984582740241</v>
      </c>
    </row>
    <row r="825" spans="1:4">
      <c r="A825">
        <v>1.0127630000000001</v>
      </c>
      <c r="B825">
        <v>3.5136989999999999</v>
      </c>
      <c r="C825">
        <f>LOG10(1.012763)</f>
        <v>5.5078265700461921E-3</v>
      </c>
      <c r="D825">
        <f>LOG10(3.513699)</f>
        <v>0.54576455504258536</v>
      </c>
    </row>
    <row r="826" spans="1:4">
      <c r="A826">
        <v>1.018519</v>
      </c>
      <c r="B826">
        <v>3.6397759999999999</v>
      </c>
      <c r="C826">
        <f>LOG10(1.018519)</f>
        <v>7.9691349740727817E-3</v>
      </c>
      <c r="D826">
        <f>LOG10(3.639776)</f>
        <v>0.56107465701241854</v>
      </c>
    </row>
    <row r="827" spans="1:4">
      <c r="A827">
        <v>1.018157</v>
      </c>
      <c r="B827">
        <v>3.513509</v>
      </c>
      <c r="C827">
        <f>LOG10(1.018157)</f>
        <v>7.8147514549420753E-3</v>
      </c>
      <c r="D827">
        <f>LOG10(3.513509)</f>
        <v>0.54574107033811048</v>
      </c>
    </row>
    <row r="828" spans="1:4">
      <c r="A828">
        <v>1.0142500000000001</v>
      </c>
      <c r="B828">
        <v>3.5495030000000001</v>
      </c>
      <c r="C828">
        <f>LOG10(1.01425)</f>
        <v>6.1450163763638365E-3</v>
      </c>
      <c r="D828">
        <f>LOG10(3.549503)</f>
        <v>0.5501675475711445</v>
      </c>
    </row>
    <row r="829" spans="1:4">
      <c r="A829">
        <v>1.018653</v>
      </c>
      <c r="B829">
        <v>3.4580139999999999</v>
      </c>
      <c r="C829">
        <f>LOG10(1.018653)</f>
        <v>8.0262685500879644E-3</v>
      </c>
      <c r="D829">
        <f>LOG10(3.458014)</f>
        <v>0.53882674721159918</v>
      </c>
    </row>
    <row r="830" spans="1:4">
      <c r="A830">
        <v>1.0140549999999999</v>
      </c>
      <c r="B830">
        <v>3.3925969999999999</v>
      </c>
      <c r="C830">
        <f>LOG10(1.014055)</f>
        <v>6.0615107652924024E-3</v>
      </c>
      <c r="D830">
        <f>LOG10(3.392597)</f>
        <v>0.5305322737120266</v>
      </c>
    </row>
    <row r="831" spans="1:4">
      <c r="A831">
        <v>1.4272199999999999</v>
      </c>
      <c r="B831">
        <v>3.3721779999999999</v>
      </c>
      <c r="C831">
        <f>LOG10(1.42722)</f>
        <v>0.15449092295467884</v>
      </c>
      <c r="D831">
        <f>LOG10(3.372178)</f>
        <v>0.52791049073843743</v>
      </c>
    </row>
    <row r="832" spans="1:4">
      <c r="A832">
        <v>1.014942</v>
      </c>
      <c r="B832">
        <v>3.422218</v>
      </c>
      <c r="C832">
        <f>LOG10(1.014942)</f>
        <v>6.4412247126151706E-3</v>
      </c>
      <c r="D832">
        <f>LOG10(3.422218)</f>
        <v>0.53430767124292156</v>
      </c>
    </row>
    <row r="833" spans="1:4">
      <c r="A833">
        <v>1.012982</v>
      </c>
      <c r="B833">
        <v>3.4583539999999999</v>
      </c>
      <c r="C833">
        <f>LOG10(1.012982)</f>
        <v>5.6017283117830155E-3</v>
      </c>
      <c r="D833">
        <f>LOG10(3.458354)</f>
        <v>0.53886944595867736</v>
      </c>
    </row>
    <row r="834" spans="1:4">
      <c r="A834">
        <v>1.0132779999999999</v>
      </c>
      <c r="B834">
        <v>3.5761180000000001</v>
      </c>
      <c r="C834">
        <f>LOG10(1.013278)</f>
        <v>5.7286134771198649E-3</v>
      </c>
      <c r="D834">
        <f>LOG10(3.576118)</f>
        <v>0.5534118406337708</v>
      </c>
    </row>
    <row r="835" spans="1:4">
      <c r="A835">
        <v>1.013171</v>
      </c>
      <c r="B835">
        <v>3.8083870000000002</v>
      </c>
      <c r="C835">
        <f>LOG10(1.013171)</f>
        <v>5.6827504826830232E-3</v>
      </c>
      <c r="D835">
        <f>LOG10(3.808387)</f>
        <v>0.58074107401512942</v>
      </c>
    </row>
    <row r="836" spans="1:4">
      <c r="A836">
        <v>1.014804</v>
      </c>
      <c r="B836">
        <v>3.579736</v>
      </c>
      <c r="C836">
        <f>LOG10(1.014804)</f>
        <v>6.3821703889756784E-3</v>
      </c>
      <c r="D836">
        <f>LOG10(3.579736)</f>
        <v>0.55385099927770487</v>
      </c>
    </row>
    <row r="837" spans="1:4">
      <c r="A837">
        <v>1.012613</v>
      </c>
      <c r="B837">
        <v>3.4880909999999998</v>
      </c>
      <c r="C837">
        <f>LOG10(1.012613)</f>
        <v>5.4434985910392E-3</v>
      </c>
      <c r="D837">
        <f>LOG10(3.488091)</f>
        <v>0.54258780661670047</v>
      </c>
    </row>
    <row r="838" spans="1:4">
      <c r="A838">
        <v>1.02424</v>
      </c>
      <c r="B838">
        <v>3.5463</v>
      </c>
      <c r="C838">
        <f>LOG10(1.02424)</f>
        <v>1.0401732482617302E-2</v>
      </c>
      <c r="D838">
        <f>LOG10(3.5463)</f>
        <v>0.54977547205269661</v>
      </c>
    </row>
    <row r="839" spans="1:4">
      <c r="A839">
        <v>1.0150330000000001</v>
      </c>
      <c r="B839">
        <v>3.5908669999999998</v>
      </c>
      <c r="C839">
        <f>LOG10(1.015033)</f>
        <v>6.4801619388171645E-3</v>
      </c>
      <c r="D839">
        <f>LOG10(3.590867)</f>
        <v>0.55519931984738446</v>
      </c>
    </row>
    <row r="840" spans="1:4">
      <c r="A840">
        <v>1.017414</v>
      </c>
      <c r="B840">
        <v>3.5280019999999999</v>
      </c>
      <c r="C840">
        <f>LOG10(1.017414)</f>
        <v>7.4977093921651484E-3</v>
      </c>
      <c r="D840">
        <f>LOG10(3.528002)</f>
        <v>0.5475288226583982</v>
      </c>
    </row>
    <row r="841" spans="1:4">
      <c r="A841">
        <v>1.0172730000000001</v>
      </c>
      <c r="B841">
        <v>3.5963599999999998</v>
      </c>
      <c r="C841">
        <f>LOG10(1.017273)</f>
        <v>7.4375178029464058E-3</v>
      </c>
      <c r="D841">
        <f>LOG10(3.59636)</f>
        <v>0.55586315864183944</v>
      </c>
    </row>
    <row r="842" spans="1:4">
      <c r="A842">
        <v>1.0185679999999999</v>
      </c>
      <c r="B842">
        <v>3.502589</v>
      </c>
      <c r="C842">
        <f>LOG10(1.018568)</f>
        <v>7.9900279743396821E-3</v>
      </c>
      <c r="D842">
        <f>LOG10(3.502589)</f>
        <v>0.54438917942328346</v>
      </c>
    </row>
    <row r="843" spans="1:4">
      <c r="A843">
        <v>1.0128680000000001</v>
      </c>
      <c r="B843">
        <v>3.5532859999999999</v>
      </c>
      <c r="C843">
        <f>LOG10(1.012868)</f>
        <v>5.552850486683223E-3</v>
      </c>
      <c r="D843">
        <f>LOG10(3.553286)</f>
        <v>0.55063016477134319</v>
      </c>
    </row>
    <row r="844" spans="1:4">
      <c r="A844">
        <v>1.0080880000000001</v>
      </c>
      <c r="B844">
        <v>3.7605870000000001</v>
      </c>
      <c r="C844">
        <f>LOG10(1.008088)</f>
        <v>3.4984450522270406E-3</v>
      </c>
      <c r="D844">
        <f>LOG10(3.760587)</f>
        <v>0.575255640396657</v>
      </c>
    </row>
    <row r="845" spans="1:4">
      <c r="A845">
        <v>1.006648</v>
      </c>
      <c r="B845">
        <v>3.6295980000000001</v>
      </c>
      <c r="C845">
        <f>LOG10(1.006648)</f>
        <v>2.8776350201115781E-3</v>
      </c>
      <c r="D845">
        <f>LOG10(3.629598)</f>
        <v>0.55985852695081817</v>
      </c>
    </row>
    <row r="846" spans="1:4">
      <c r="A846">
        <v>1.007701</v>
      </c>
      <c r="B846">
        <v>3.8126139999999999</v>
      </c>
      <c r="C846">
        <f>LOG10(1.007701)</f>
        <v>3.3316895370798199E-3</v>
      </c>
      <c r="D846">
        <f>LOG10(3.812614)</f>
        <v>0.58122283827766008</v>
      </c>
    </row>
    <row r="847" spans="1:4">
      <c r="A847">
        <v>1.0190330000000001</v>
      </c>
      <c r="B847">
        <v>3.9578229999999999</v>
      </c>
      <c r="C847">
        <f>LOG10(1.019033)</f>
        <v>8.1882482712386847E-3</v>
      </c>
      <c r="D847">
        <f>LOG10(3.957823)</f>
        <v>0.59745636797999169</v>
      </c>
    </row>
    <row r="848" spans="1:4">
      <c r="A848">
        <v>1.0157389999999999</v>
      </c>
      <c r="B848">
        <v>3.8284950000000002</v>
      </c>
      <c r="C848">
        <f>LOG10(1.015739)</f>
        <v>6.7821278085220269E-3</v>
      </c>
      <c r="D848">
        <f>LOG10(3.828495)</f>
        <v>0.58302808424337571</v>
      </c>
    </row>
    <row r="849" spans="1:4">
      <c r="A849">
        <v>1.0057780000000001</v>
      </c>
      <c r="B849">
        <v>3.7957070000000002</v>
      </c>
      <c r="C849">
        <f>LOG10(1.005778)</f>
        <v>2.5021317988309761E-3</v>
      </c>
      <c r="D849">
        <f>LOG10(3.795707)</f>
        <v>0.5792926807851877</v>
      </c>
    </row>
    <row r="850" spans="1:4">
      <c r="A850">
        <v>1.020413</v>
      </c>
      <c r="B850">
        <v>3.7931270000000001</v>
      </c>
      <c r="C850">
        <f>LOG10(1.020413)</f>
        <v>8.7759828584706087E-3</v>
      </c>
      <c r="D850">
        <f>LOG10(3.793127)</f>
        <v>0.5789973838248168</v>
      </c>
    </row>
    <row r="851" spans="1:4">
      <c r="A851">
        <v>1.0120169999999999</v>
      </c>
      <c r="B851">
        <v>3.905084</v>
      </c>
      <c r="C851">
        <f>LOG10(1.012017)</f>
        <v>5.1878079031692529E-3</v>
      </c>
      <c r="D851">
        <f>LOG10(3.905084)</f>
        <v>0.59163038017084002</v>
      </c>
    </row>
    <row r="852" spans="1:4">
      <c r="A852">
        <v>1.0119100000000001</v>
      </c>
      <c r="B852">
        <v>4.0465869999999997</v>
      </c>
      <c r="C852">
        <f>LOG10(1.01191)</f>
        <v>5.1418877592046934E-3</v>
      </c>
      <c r="D852">
        <f>LOG10(4.046587)</f>
        <v>0.60708888198638788</v>
      </c>
    </row>
    <row r="853" spans="1:4">
      <c r="A853">
        <v>1.0116499999999999</v>
      </c>
      <c r="B853">
        <v>3.9553910000000001</v>
      </c>
      <c r="C853">
        <f>LOG10(1.01165)</f>
        <v>5.0302858636184179E-3</v>
      </c>
      <c r="D853">
        <f>LOG10(3.955391)</f>
        <v>0.59718942101931471</v>
      </c>
    </row>
    <row r="854" spans="1:4">
      <c r="A854">
        <v>1.0174749999999999</v>
      </c>
      <c r="B854">
        <v>3.839709</v>
      </c>
      <c r="C854">
        <f>LOG10(1.017475)</f>
        <v>7.5237471400756983E-3</v>
      </c>
      <c r="D854">
        <f>LOG10(3.839709)</f>
        <v>0.58429831174172842</v>
      </c>
    </row>
    <row r="855" spans="1:4">
      <c r="A855">
        <v>1.0174719999999999</v>
      </c>
      <c r="B855">
        <v>3.875407</v>
      </c>
      <c r="C855">
        <f>LOG10(1.017472)</f>
        <v>7.5224666315949372E-3</v>
      </c>
      <c r="D855">
        <f>LOG10(3.875407)</f>
        <v>0.58831731937707654</v>
      </c>
    </row>
    <row r="856" spans="1:4">
      <c r="A856">
        <v>1.11992</v>
      </c>
      <c r="B856">
        <v>3.5999110000000001</v>
      </c>
      <c r="C856">
        <f>LOG10(1.11992)</f>
        <v>4.9187000527813114E-2</v>
      </c>
      <c r="D856">
        <f>LOG10(3.599911)</f>
        <v>0.55629176390987578</v>
      </c>
    </row>
    <row r="857" spans="1:4">
      <c r="A857">
        <v>1.11212</v>
      </c>
      <c r="B857">
        <v>3.7407659999999998</v>
      </c>
      <c r="C857">
        <f>LOG10(1.11212)</f>
        <v>4.6151651028459542E-2</v>
      </c>
      <c r="D857">
        <f>LOG10(3.740766)</f>
        <v>0.57296054217649339</v>
      </c>
    </row>
    <row r="858" spans="1:4">
      <c r="A858">
        <v>1.1388929999999999</v>
      </c>
      <c r="B858">
        <v>3.5794969999999999</v>
      </c>
      <c r="C858">
        <f>LOG10(1.138893)</f>
        <v>5.6482923646772897E-2</v>
      </c>
      <c r="D858">
        <f>LOG10(3.579497)</f>
        <v>0.553822002768941</v>
      </c>
    </row>
    <row r="859" spans="1:4">
      <c r="A859">
        <v>1.1385909999999999</v>
      </c>
      <c r="B859">
        <v>3.547383</v>
      </c>
      <c r="C859">
        <f>LOG10(1.138591)</f>
        <v>5.6367746605526042E-2</v>
      </c>
      <c r="D859">
        <f>LOG10(3.547383)</f>
        <v>0.54990808043893424</v>
      </c>
    </row>
    <row r="860" spans="1:4">
      <c r="A860">
        <v>1.133489</v>
      </c>
      <c r="B860">
        <v>3.8245529999999999</v>
      </c>
      <c r="C860">
        <f>LOG10(1.133489)</f>
        <v>5.4417309850730858E-2</v>
      </c>
      <c r="D860">
        <f>LOG10(3.824553)</f>
        <v>0.58258068367851079</v>
      </c>
    </row>
    <row r="861" spans="1:4">
      <c r="A861">
        <v>1.1130770000000001</v>
      </c>
      <c r="B861">
        <v>3.8870100000000001</v>
      </c>
      <c r="C861">
        <f>LOG10(1.113077)</f>
        <v>4.6525208825640055E-2</v>
      </c>
      <c r="D861">
        <f>LOG10(3.88701)</f>
        <v>0.5896156579297569</v>
      </c>
    </row>
    <row r="862" spans="1:4">
      <c r="A862">
        <v>1.097162</v>
      </c>
      <c r="B862">
        <v>3.796367</v>
      </c>
      <c r="C862">
        <f>LOG10(1.097162)</f>
        <v>4.0270757485078877E-2</v>
      </c>
      <c r="D862">
        <f>LOG10(3.796367)</f>
        <v>0.57936818962737702</v>
      </c>
    </row>
    <row r="863" spans="1:4">
      <c r="A863">
        <v>1.104711</v>
      </c>
      <c r="B863">
        <v>3.7447699999999999</v>
      </c>
      <c r="C863">
        <f>LOG10(1.104711)</f>
        <v>4.3248678454502316E-2</v>
      </c>
      <c r="D863">
        <f>LOG10(3.74477)</f>
        <v>0.57342514892513097</v>
      </c>
    </row>
    <row r="864" spans="1:4">
      <c r="A864">
        <v>1.1012249999999999</v>
      </c>
      <c r="B864">
        <v>3.6809259999999999</v>
      </c>
      <c r="C864">
        <f>LOG10(1.101225)</f>
        <v>4.1876062182611876E-2</v>
      </c>
      <c r="D864">
        <f>LOG10(3.680926)</f>
        <v>0.56595708663582667</v>
      </c>
    </row>
    <row r="865" spans="1:4">
      <c r="A865">
        <v>1.0986309999999999</v>
      </c>
      <c r="B865">
        <v>3.7440899999999999</v>
      </c>
      <c r="C865">
        <f>LOG10(1.098631)</f>
        <v>4.0851849317593024E-2</v>
      </c>
      <c r="D865">
        <f>LOG10(3.74409)</f>
        <v>0.5733462797117912</v>
      </c>
    </row>
    <row r="866" spans="1:4">
      <c r="A866">
        <v>1.1013500000000001</v>
      </c>
      <c r="B866">
        <v>3.6542189999999999</v>
      </c>
      <c r="C866">
        <f>LOG10(1.10135)</f>
        <v>4.1925356132008609E-2</v>
      </c>
      <c r="D866">
        <f>LOG10(3.654219)</f>
        <v>0.56279457138035571</v>
      </c>
    </row>
    <row r="867" spans="1:4">
      <c r="A867">
        <v>1.094716</v>
      </c>
      <c r="B867">
        <v>3.712237</v>
      </c>
      <c r="C867">
        <f>LOG10(1.094716)</f>
        <v>3.9301465632433676E-2</v>
      </c>
      <c r="D867">
        <f>LOG10(3.712237)</f>
        <v>0.56963569505397327</v>
      </c>
    </row>
    <row r="868" spans="1:4">
      <c r="A868">
        <v>1.091531</v>
      </c>
      <c r="B868">
        <v>3.6791480000000001</v>
      </c>
      <c r="C868">
        <f>LOG10(1.091531)</f>
        <v>3.8036074390332124E-2</v>
      </c>
      <c r="D868">
        <f>LOG10(3.679148)</f>
        <v>0.56574725841838081</v>
      </c>
    </row>
    <row r="869" spans="1:4">
      <c r="A869">
        <v>1.0920989999999999</v>
      </c>
      <c r="B869">
        <v>3.6289630000000002</v>
      </c>
      <c r="C869">
        <f>LOG10(1.092099)</f>
        <v>3.8262009435449232E-2</v>
      </c>
      <c r="D869">
        <f>LOG10(3.628963)</f>
        <v>0.55978254026510665</v>
      </c>
    </row>
    <row r="870" spans="1:4">
      <c r="A870">
        <v>1.080128</v>
      </c>
      <c r="B870">
        <v>3.5022869999999999</v>
      </c>
      <c r="C870">
        <f>LOG10(1.080128)</f>
        <v>3.3475224375597662E-2</v>
      </c>
      <c r="D870">
        <f>LOG10(3.502287)</f>
        <v>0.54435173209841548</v>
      </c>
    </row>
    <row r="871" spans="1:4">
      <c r="A871">
        <v>1.0848770000000001</v>
      </c>
      <c r="B871">
        <v>3.4609779999999999</v>
      </c>
      <c r="C871">
        <f>LOG10(1.084877)</f>
        <v>3.5380502010026647E-2</v>
      </c>
      <c r="D871">
        <f>LOG10(3.460978)</f>
        <v>0.53919883867321794</v>
      </c>
    </row>
    <row r="872" spans="1:4">
      <c r="A872">
        <v>1.0915299999999999</v>
      </c>
      <c r="B872">
        <v>3.5667990000000001</v>
      </c>
      <c r="C872">
        <f>LOG10(1.09153)</f>
        <v>3.8035676513697471E-2</v>
      </c>
      <c r="D872">
        <f>LOG10(3.566799)</f>
        <v>0.55227863620955253</v>
      </c>
    </row>
    <row r="873" spans="1:4">
      <c r="A873">
        <v>1.079944</v>
      </c>
      <c r="B873">
        <v>3.477033</v>
      </c>
      <c r="C873">
        <f>LOG10(1.079944)</f>
        <v>3.3401235929968576E-2</v>
      </c>
      <c r="D873">
        <f>LOG10(3.477033)</f>
        <v>0.54120881252677078</v>
      </c>
    </row>
    <row r="874" spans="1:4">
      <c r="A874">
        <v>1.062764</v>
      </c>
      <c r="B874">
        <v>3.5461079999999998</v>
      </c>
      <c r="C874">
        <f>LOG10(1.062764)</f>
        <v>2.6436834723798569E-2</v>
      </c>
      <c r="D874">
        <f>LOG10(3.546108)</f>
        <v>0.54975195830657664</v>
      </c>
    </row>
    <row r="875" spans="1:4">
      <c r="A875">
        <v>1.060613</v>
      </c>
      <c r="B875">
        <v>3.4853779999999999</v>
      </c>
      <c r="C875">
        <f>LOG10(1.060613)</f>
        <v>2.555694598984538E-2</v>
      </c>
      <c r="D875">
        <f>LOG10(3.485378)</f>
        <v>0.54224988556511244</v>
      </c>
    </row>
    <row r="876" spans="1:4">
      <c r="A876">
        <v>1.0629900000000001</v>
      </c>
      <c r="B876">
        <v>3.494777</v>
      </c>
      <c r="C876">
        <f>LOG10(1.06299)</f>
        <v>2.6529178949216897E-2</v>
      </c>
      <c r="D876">
        <f>LOG10(3.494777)</f>
        <v>0.54341946884871029</v>
      </c>
    </row>
    <row r="877" spans="1:4">
      <c r="A877">
        <v>1.075037</v>
      </c>
      <c r="B877">
        <v>3.492753</v>
      </c>
      <c r="C877">
        <f>LOG10(1.075037)</f>
        <v>3.1423411804463473E-2</v>
      </c>
      <c r="D877">
        <f>LOG10(3.492753)</f>
        <v>0.54316787434937908</v>
      </c>
    </row>
    <row r="878" spans="1:4">
      <c r="A878">
        <v>1.0756829999999999</v>
      </c>
      <c r="B878">
        <v>3.6009570000000002</v>
      </c>
      <c r="C878">
        <f>LOG10(1.075683)</f>
        <v>3.1684305127393994E-2</v>
      </c>
      <c r="D878">
        <f>LOG10(3.600957)</f>
        <v>0.55641793537455642</v>
      </c>
    </row>
    <row r="879" spans="1:4">
      <c r="A879">
        <v>1.0638540000000001</v>
      </c>
      <c r="B879">
        <v>3.379445</v>
      </c>
      <c r="C879">
        <f>LOG10(1.063854)</f>
        <v>2.6882030830225105E-2</v>
      </c>
      <c r="D879">
        <f>LOG10(3.379445)</f>
        <v>0.52884538275439719</v>
      </c>
    </row>
    <row r="880" spans="1:4">
      <c r="A880">
        <v>1.079226</v>
      </c>
      <c r="B880">
        <v>3.3175849999999998</v>
      </c>
      <c r="C880">
        <f>LOG10(1.079226)</f>
        <v>3.311239952570183E-2</v>
      </c>
      <c r="D880">
        <f>LOG10(3.317585)</f>
        <v>0.52082205875819332</v>
      </c>
    </row>
    <row r="881" spans="1:4">
      <c r="A881">
        <v>1.073901</v>
      </c>
      <c r="B881">
        <v>3.2762340000000001</v>
      </c>
      <c r="C881">
        <f>LOG10(1.073901)</f>
        <v>3.0964246786767322E-2</v>
      </c>
      <c r="D881">
        <f>LOG10(3.276234)</f>
        <v>0.51537491301496119</v>
      </c>
    </row>
    <row r="882" spans="1:4">
      <c r="A882">
        <v>1.0907279999999999</v>
      </c>
      <c r="B882">
        <v>3.4284789999999998</v>
      </c>
      <c r="C882">
        <f>LOG10(1.090728)</f>
        <v>3.7716462021032161E-2</v>
      </c>
      <c r="D882">
        <f>LOG10(3.428479)</f>
        <v>0.53510149368412618</v>
      </c>
    </row>
    <row r="883" spans="1:4">
      <c r="A883">
        <v>1.096565</v>
      </c>
      <c r="B883">
        <v>3.4271790000000002</v>
      </c>
      <c r="C883">
        <f>LOG10(1.096565)</f>
        <v>4.003438002143201E-2</v>
      </c>
      <c r="D883">
        <f>LOG10(3.427179)</f>
        <v>0.53493678802545974</v>
      </c>
    </row>
    <row r="884" spans="1:4">
      <c r="A884">
        <v>1.1059749999999999</v>
      </c>
      <c r="B884">
        <v>3.4182079999999999</v>
      </c>
      <c r="C884">
        <f>LOG10(1.105975)</f>
        <v>4.3745310074683748E-2</v>
      </c>
      <c r="D884">
        <f>LOG10(3.418208)</f>
        <v>0.5337984862676215</v>
      </c>
    </row>
    <row r="885" spans="1:4">
      <c r="A885">
        <v>1.1014349999999999</v>
      </c>
      <c r="B885">
        <v>3.6267520000000002</v>
      </c>
      <c r="C885">
        <f>LOG10(1.101435)</f>
        <v>4.1958872821998831E-2</v>
      </c>
      <c r="D885">
        <f>LOG10(3.626752)</f>
        <v>0.55951785921597252</v>
      </c>
    </row>
    <row r="886" spans="1:4">
      <c r="A886">
        <v>1.113302</v>
      </c>
      <c r="B886">
        <v>3.6351110000000002</v>
      </c>
      <c r="C886">
        <f>LOG10(1.113302)</f>
        <v>4.6612989260831787E-2</v>
      </c>
      <c r="D886">
        <f>LOG10(3.635111)</f>
        <v>0.56051767680481612</v>
      </c>
    </row>
    <row r="887" spans="1:4">
      <c r="A887">
        <v>1.1053809999999999</v>
      </c>
      <c r="B887">
        <v>3.6008800000000001</v>
      </c>
      <c r="C887">
        <f>LOG10(1.105381)</f>
        <v>4.3511995376864857E-2</v>
      </c>
      <c r="D887">
        <f>LOG10(3.60088)</f>
        <v>0.55640864866753759</v>
      </c>
    </row>
    <row r="888" spans="1:4">
      <c r="A888">
        <v>1.064252</v>
      </c>
      <c r="B888">
        <v>3.4211900000000002</v>
      </c>
      <c r="C888">
        <f>LOG10(1.064252)</f>
        <v>2.7044474999653401E-2</v>
      </c>
      <c r="D888">
        <f>LOG10(3.42119)</f>
        <v>0.53417719393373453</v>
      </c>
    </row>
    <row r="889" spans="1:4">
      <c r="A889">
        <v>1.0541769999999999</v>
      </c>
      <c r="B889">
        <v>3.538497</v>
      </c>
      <c r="C889">
        <f>LOG10(1.054177)</f>
        <v>2.2913536559217126E-2</v>
      </c>
      <c r="D889">
        <f>LOG10(3.538497)</f>
        <v>0.54881883173893165</v>
      </c>
    </row>
    <row r="890" spans="1:4">
      <c r="A890">
        <v>1.050497</v>
      </c>
      <c r="B890">
        <v>3.5901019999999999</v>
      </c>
      <c r="C890">
        <f>LOG10(1.050497)</f>
        <v>2.1394816489419186E-2</v>
      </c>
      <c r="D890">
        <f>LOG10(3.590102)</f>
        <v>0.55510678768914434</v>
      </c>
    </row>
    <row r="891" spans="1:4">
      <c r="A891">
        <v>1.055992</v>
      </c>
      <c r="B891">
        <v>3.629966</v>
      </c>
      <c r="C891">
        <f>LOG10(1.055992)</f>
        <v>2.3660628075619482E-2</v>
      </c>
      <c r="D891">
        <f>LOG10(3.629966)</f>
        <v>0.55990255724505544</v>
      </c>
    </row>
    <row r="892" spans="1:4">
      <c r="A892">
        <v>1.123793</v>
      </c>
      <c r="B892">
        <v>3.7456930000000002</v>
      </c>
      <c r="C892">
        <f>LOG10(1.123793)</f>
        <v>5.0686322588173217E-2</v>
      </c>
      <c r="D892">
        <f>LOG10(3.745693)</f>
        <v>0.57353217937406997</v>
      </c>
    </row>
    <row r="893" spans="1:4">
      <c r="A893">
        <v>1.1054010000000001</v>
      </c>
      <c r="B893">
        <v>3.843499</v>
      </c>
      <c r="C893">
        <f>LOG10(1.105401)</f>
        <v>4.3519853130038491E-2</v>
      </c>
      <c r="D893">
        <f>LOG10(3.843499)</f>
        <v>0.58472677241074</v>
      </c>
    </row>
    <row r="894" spans="1:4">
      <c r="A894">
        <v>1.0845229999999999</v>
      </c>
      <c r="B894">
        <v>3.721034</v>
      </c>
      <c r="C894">
        <f>LOG10(1.084523)</f>
        <v>3.5238766739483278E-2</v>
      </c>
      <c r="D894">
        <f>LOG10(3.721034)</f>
        <v>0.57066363829482736</v>
      </c>
    </row>
    <row r="895" spans="1:4">
      <c r="A895">
        <v>1.0570040000000001</v>
      </c>
      <c r="B895">
        <v>3.6224560000000001</v>
      </c>
      <c r="C895">
        <f>LOG10(1.057004)</f>
        <v>2.4076630802828961E-2</v>
      </c>
      <c r="D895">
        <f>LOG10(3.622456)</f>
        <v>0.55900311903672328</v>
      </c>
    </row>
    <row r="896" spans="1:4">
      <c r="A896">
        <v>1.0597920000000001</v>
      </c>
      <c r="B896">
        <v>3.7204510000000002</v>
      </c>
      <c r="C896">
        <f>LOG10(1.059792)</f>
        <v>2.5220636853184802E-2</v>
      </c>
      <c r="D896">
        <f>LOG10(3.720451)</f>
        <v>0.5705955890590988</v>
      </c>
    </row>
    <row r="897" spans="1:4">
      <c r="A897">
        <v>1.08006</v>
      </c>
      <c r="B897">
        <v>3.7644299999999999</v>
      </c>
      <c r="C897">
        <f>LOG10(1.08006)</f>
        <v>3.3447882287983843E-2</v>
      </c>
      <c r="D897">
        <f>LOG10(3.76443)</f>
        <v>0.57569922579694288</v>
      </c>
    </row>
    <row r="898" spans="1:4">
      <c r="A898">
        <v>1.110852</v>
      </c>
      <c r="B898">
        <v>3.8179500000000002</v>
      </c>
      <c r="C898">
        <f>LOG10(1.110852)</f>
        <v>4.5656201276705673E-2</v>
      </c>
      <c r="D898">
        <f>LOG10(3.81795)</f>
        <v>0.58183023655993116</v>
      </c>
    </row>
    <row r="899" spans="1:4">
      <c r="A899">
        <v>1.119669</v>
      </c>
      <c r="B899">
        <v>3.7846660000000001</v>
      </c>
      <c r="C899">
        <f>LOG10(1.119669)</f>
        <v>4.9089654170589428E-2</v>
      </c>
      <c r="D899">
        <f>LOG10(3.784666)</f>
        <v>0.57802755866902344</v>
      </c>
    </row>
    <row r="900" spans="1:4">
      <c r="A900">
        <v>1.1434930000000001</v>
      </c>
      <c r="B900">
        <v>3.784084</v>
      </c>
      <c r="C900">
        <f>LOG10(1.143493)</f>
        <v>5.8233510376367398E-2</v>
      </c>
      <c r="D900">
        <f>LOG10(3.784084)</f>
        <v>0.57796076840934629</v>
      </c>
    </row>
    <row r="901" spans="1:4">
      <c r="A901">
        <v>1.12582</v>
      </c>
      <c r="B901">
        <v>3.7613780000000001</v>
      </c>
      <c r="C901">
        <f>LOG10(1.12582)</f>
        <v>5.1468959560003226E-2</v>
      </c>
      <c r="D901">
        <f>LOG10(3.761378)</f>
        <v>0.57534698007623586</v>
      </c>
    </row>
    <row r="902" spans="1:4">
      <c r="A902">
        <v>1.095013</v>
      </c>
      <c r="B902">
        <v>3.5958139999999998</v>
      </c>
      <c r="C902">
        <f>LOG10(1.095013)</f>
        <v>3.9419275153078664E-2</v>
      </c>
      <c r="D902">
        <f>LOG10(3.595814)</f>
        <v>0.55579721897253365</v>
      </c>
    </row>
    <row r="903" spans="1:4">
      <c r="A903">
        <v>1.089461</v>
      </c>
      <c r="B903">
        <v>3.7834340000000002</v>
      </c>
      <c r="C903">
        <f>LOG10(1.089461)</f>
        <v>3.7211688195904015E-2</v>
      </c>
      <c r="D903">
        <f>LOG10(3.783434)</f>
        <v>0.57788616233270895</v>
      </c>
    </row>
    <row r="904" spans="1:4">
      <c r="A904">
        <v>1.014837</v>
      </c>
      <c r="B904">
        <v>3.8338549999999998</v>
      </c>
      <c r="C904">
        <f>LOG10(1.014837)</f>
        <v>6.3962928056040856E-3</v>
      </c>
      <c r="D904">
        <f>LOG10(3.833855)</f>
        <v>0.58363568342709737</v>
      </c>
    </row>
    <row r="905" spans="1:4">
      <c r="A905">
        <v>1.0151380000000001</v>
      </c>
      <c r="B905">
        <v>4.0146819999999996</v>
      </c>
      <c r="C905">
        <f>LOG10(1.015138)</f>
        <v>6.5250851700528693E-3</v>
      </c>
      <c r="D905">
        <f>LOG10(4.014682)</f>
        <v>0.60365115083145593</v>
      </c>
    </row>
    <row r="906" spans="1:4">
      <c r="A906">
        <v>1.0214780000000001</v>
      </c>
      <c r="B906">
        <v>3.899486</v>
      </c>
      <c r="C906">
        <f>LOG10(1.021478)</f>
        <v>9.2290174868310676E-3</v>
      </c>
      <c r="D906">
        <f>LOG10(3.899486)</f>
        <v>0.59100736546878085</v>
      </c>
    </row>
    <row r="907" spans="1:4">
      <c r="A907">
        <v>1.019717</v>
      </c>
      <c r="B907">
        <v>3.7623449999999998</v>
      </c>
      <c r="C907">
        <f>LOG10(1.019717)</f>
        <v>8.4796596132545119E-3</v>
      </c>
      <c r="D907">
        <f>LOG10(3.762345)</f>
        <v>0.57545861703211876</v>
      </c>
    </row>
    <row r="908" spans="1:4">
      <c r="A908">
        <v>1.012575</v>
      </c>
      <c r="B908">
        <v>4.0974810000000002</v>
      </c>
      <c r="C908">
        <f>LOG10(1.012575)</f>
        <v>5.4272006569074027E-3</v>
      </c>
      <c r="D908">
        <f>LOG10(4.097481)</f>
        <v>0.612516948425749</v>
      </c>
    </row>
    <row r="909" spans="1:4">
      <c r="A909">
        <v>1.012786</v>
      </c>
      <c r="B909">
        <v>4.1136809999999997</v>
      </c>
      <c r="C909">
        <f>LOG10(1.012786)</f>
        <v>5.5176893510346095E-3</v>
      </c>
      <c r="D909">
        <f>LOG10(4.113681)</f>
        <v>0.61423061081247143</v>
      </c>
    </row>
    <row r="910" spans="1:4">
      <c r="A910">
        <v>1.011673</v>
      </c>
      <c r="B910">
        <v>3.9671789999999998</v>
      </c>
      <c r="C910">
        <f>LOG10(1.011673)</f>
        <v>5.0401594953462751E-3</v>
      </c>
      <c r="D910">
        <f>LOG10(3.967179)</f>
        <v>0.59848179637998367</v>
      </c>
    </row>
    <row r="911" spans="1:4">
      <c r="A911">
        <v>1.011884</v>
      </c>
      <c r="B911">
        <v>3.9537969999999998</v>
      </c>
      <c r="C911">
        <f>LOG10(1.011884)</f>
        <v>5.1307288600972332E-3</v>
      </c>
      <c r="D911">
        <f>LOG10(3.953797)</f>
        <v>0.59701436754643566</v>
      </c>
    </row>
    <row r="912" spans="1:4">
      <c r="A912">
        <v>1.0120720000000001</v>
      </c>
      <c r="B912">
        <v>3.8506770000000001</v>
      </c>
      <c r="C912">
        <f>LOG10(1.012072)</f>
        <v>5.2114098263165232E-3</v>
      </c>
      <c r="D912">
        <f>LOG10(3.850677)</f>
        <v>0.58553709094139961</v>
      </c>
    </row>
    <row r="913" spans="1:4">
      <c r="A913">
        <v>1.0107809999999999</v>
      </c>
      <c r="B913">
        <v>3.8894449999999998</v>
      </c>
      <c r="C913">
        <f>LOG10(1.010781)</f>
        <v>4.6570697410412221E-3</v>
      </c>
      <c r="D913">
        <f>LOG10(3.889445)</f>
        <v>0.58988763458184224</v>
      </c>
    </row>
    <row r="914" spans="1:4">
      <c r="A914">
        <v>1.0112140000000001</v>
      </c>
      <c r="B914">
        <v>3.783795</v>
      </c>
      <c r="C914">
        <f>LOG10(1.011214)</f>
        <v>4.843073676301885E-3</v>
      </c>
      <c r="D914">
        <f>LOG10(3.783795)</f>
        <v>0.57792759898226342</v>
      </c>
    </row>
    <row r="915" spans="1:4">
      <c r="A915">
        <v>1.0115689999999999</v>
      </c>
      <c r="B915">
        <v>3.8366959999999999</v>
      </c>
      <c r="C915">
        <f>LOG10(1.011569)</f>
        <v>4.9955117209744861E-3</v>
      </c>
      <c r="D915">
        <f>LOG10(3.836696)</f>
        <v>0.58395738930702856</v>
      </c>
    </row>
    <row r="916" spans="1:4">
      <c r="A916">
        <v>1.0127699999999999</v>
      </c>
      <c r="B916">
        <v>3.7577199999999999</v>
      </c>
      <c r="C916">
        <f>LOG10(1.01277)</f>
        <v>5.5108283097100507E-3</v>
      </c>
      <c r="D916">
        <f>LOG10(3.75772)</f>
        <v>0.57492441626867963</v>
      </c>
    </row>
    <row r="917" spans="1:4">
      <c r="A917">
        <v>1.0096849999999999</v>
      </c>
      <c r="B917">
        <v>3.7289599999999998</v>
      </c>
      <c r="C917">
        <f>LOG10(1.009685)</f>
        <v>4.1859043773553204E-3</v>
      </c>
      <c r="D917">
        <f>LOG10(3.72896)</f>
        <v>0.57158772477389819</v>
      </c>
    </row>
    <row r="918" spans="1:4">
      <c r="A918">
        <v>1.0101979999999999</v>
      </c>
      <c r="B918">
        <v>3.6202390000000002</v>
      </c>
      <c r="C918">
        <f>LOG10(1.010198)</f>
        <v>4.4065043566676489E-3</v>
      </c>
      <c r="D918">
        <f>LOG10(3.620239)</f>
        <v>0.55873724262015423</v>
      </c>
    </row>
    <row r="919" spans="1:4">
      <c r="A919">
        <v>1.010912</v>
      </c>
      <c r="B919">
        <v>3.572962</v>
      </c>
      <c r="C919">
        <f>LOG10(1.010912)</f>
        <v>4.7133518543086622E-3</v>
      </c>
      <c r="D919">
        <f>LOG10(3.572962)</f>
        <v>0.55302839731688958</v>
      </c>
    </row>
    <row r="920" spans="1:4">
      <c r="A920">
        <v>1.0121929999999999</v>
      </c>
      <c r="B920">
        <v>3.6840410000000001</v>
      </c>
      <c r="C920">
        <f>LOG10(1.012193)</f>
        <v>5.263329542729938E-3</v>
      </c>
      <c r="D920">
        <f>LOG10(3.684041)</f>
        <v>0.56632445485127036</v>
      </c>
    </row>
    <row r="921" spans="1:4">
      <c r="A921">
        <v>1.021156</v>
      </c>
      <c r="B921">
        <v>3.57646</v>
      </c>
      <c r="C921">
        <f>LOG10(1.021156)</f>
        <v>9.0920934717296925E-3</v>
      </c>
      <c r="D921">
        <f>LOG10(3.57646)</f>
        <v>0.55345337215231527</v>
      </c>
    </row>
    <row r="922" spans="1:4">
      <c r="A922">
        <v>1.0061009999999999</v>
      </c>
      <c r="B922">
        <v>3.6110340000000001</v>
      </c>
      <c r="C922">
        <f>LOG10(1.006101)</f>
        <v>2.6415806611730028E-3</v>
      </c>
      <c r="D922">
        <f>LOG10(3.611034)</f>
        <v>0.55763157758297976</v>
      </c>
    </row>
    <row r="923" spans="1:4">
      <c r="A923">
        <v>1.0111300000000001</v>
      </c>
      <c r="B923">
        <v>3.5585710000000002</v>
      </c>
      <c r="C923">
        <f>LOG10(1.01113)</f>
        <v>4.8069959996051006E-3</v>
      </c>
      <c r="D923">
        <f>LOG10(3.558571)</f>
        <v>0.55127563521861567</v>
      </c>
    </row>
    <row r="924" spans="1:4">
      <c r="A924">
        <v>1.0097290000000001</v>
      </c>
      <c r="B924">
        <v>3.5799970000000001</v>
      </c>
      <c r="C924">
        <f>LOG10(1.009729)</f>
        <v>4.2048296271622789E-3</v>
      </c>
      <c r="D924">
        <f>LOG10(3.579997)</f>
        <v>0.55388266270979847</v>
      </c>
    </row>
    <row r="925" spans="1:4">
      <c r="A925">
        <v>1.0110840000000001</v>
      </c>
      <c r="B925">
        <v>3.5341070000000001</v>
      </c>
      <c r="C925">
        <f>LOG10(1.011084)</f>
        <v>4.7872379065734124E-3</v>
      </c>
      <c r="D925">
        <f>LOG10(3.534107)</f>
        <v>0.54827969423868306</v>
      </c>
    </row>
    <row r="926" spans="1:4">
      <c r="A926">
        <v>1.0105999999999999</v>
      </c>
      <c r="B926">
        <v>3.6719590000000002</v>
      </c>
      <c r="C926">
        <f>LOG10(1.0106)</f>
        <v>4.5792939022116577E-3</v>
      </c>
      <c r="D926">
        <f>LOG10(3.671959)</f>
        <v>0.56489782335350591</v>
      </c>
    </row>
    <row r="927" spans="1:4">
      <c r="A927">
        <v>1.0098750000000001</v>
      </c>
      <c r="B927">
        <v>3.4067449999999999</v>
      </c>
      <c r="C927">
        <f>LOG10(1.009875)</f>
        <v>4.2676211392293191E-3</v>
      </c>
      <c r="D927">
        <f>LOG10(3.406745)</f>
        <v>0.53233962718763073</v>
      </c>
    </row>
    <row r="928" spans="1:4">
      <c r="A928">
        <v>1.0087870000000001</v>
      </c>
      <c r="B928">
        <v>3.4015559999999998</v>
      </c>
      <c r="C928">
        <f>LOG10(1.008787)</f>
        <v>3.7994769505894704E-3</v>
      </c>
      <c r="D928">
        <f>LOG10(3.401556)</f>
        <v>0.53167762516893391</v>
      </c>
    </row>
    <row r="929" spans="1:4">
      <c r="A929">
        <v>1.009306</v>
      </c>
      <c r="B929">
        <v>3.3726699999999998</v>
      </c>
      <c r="C929">
        <f>LOG10(1.009306)</f>
        <v>4.0228550021231884E-3</v>
      </c>
      <c r="D929">
        <f>LOG10(3.37267)</f>
        <v>0.52797384958224691</v>
      </c>
    </row>
    <row r="930" spans="1:4">
      <c r="A930">
        <v>1.01132</v>
      </c>
      <c r="B930">
        <v>3.5171809999999999</v>
      </c>
      <c r="C930">
        <f>LOG10(1.01132)</f>
        <v>4.8885959915004103E-3</v>
      </c>
      <c r="D930">
        <f>LOG10(3.517181)</f>
        <v>0.5461947184103626</v>
      </c>
    </row>
    <row r="931" spans="1:4">
      <c r="A931">
        <v>1.0109360000000001</v>
      </c>
      <c r="B931">
        <v>3.4892099999999999</v>
      </c>
      <c r="C931">
        <f>LOG10(1.010936)</f>
        <v>4.7236622906680495E-3</v>
      </c>
      <c r="D931">
        <f>LOG10(3.48921)</f>
        <v>0.54272710848411787</v>
      </c>
    </row>
    <row r="932" spans="1:4">
      <c r="A932">
        <v>1.0135449999999999</v>
      </c>
      <c r="B932">
        <v>3.4983179999999998</v>
      </c>
      <c r="C932">
        <f>LOG10(1.013545)</f>
        <v>5.843035533055616E-3</v>
      </c>
      <c r="D932">
        <f>LOG10(3.498318)</f>
        <v>0.5438592846646978</v>
      </c>
    </row>
    <row r="933" spans="1:4">
      <c r="A933">
        <v>1.0095499999999999</v>
      </c>
      <c r="B933">
        <v>3.7470300000000001</v>
      </c>
      <c r="C933">
        <f>LOG10(1.00955)</f>
        <v>4.1278331225045543E-3</v>
      </c>
      <c r="D933">
        <f>LOG10(3.74703)</f>
        <v>0.57368717021744364</v>
      </c>
    </row>
    <row r="934" spans="1:4">
      <c r="A934">
        <v>1.0105420000000001</v>
      </c>
      <c r="B934">
        <v>3.6970399999999999</v>
      </c>
      <c r="C934">
        <f>LOG10(1.010542)</f>
        <v>4.5543683106824577E-3</v>
      </c>
      <c r="D934">
        <f>LOG10(3.69704)</f>
        <v>0.56785414943307411</v>
      </c>
    </row>
    <row r="935" spans="1:4">
      <c r="A935">
        <v>1.0083200000000001</v>
      </c>
      <c r="B935">
        <v>3.6359340000000002</v>
      </c>
      <c r="C935">
        <f>LOG10(1.00832)</f>
        <v>3.5983814939056689E-3</v>
      </c>
      <c r="D935">
        <f>LOG10(3.635934)</f>
        <v>0.56061599124521166</v>
      </c>
    </row>
    <row r="936" spans="1:4">
      <c r="A936">
        <v>1.00874</v>
      </c>
      <c r="B936">
        <v>3.5165540000000002</v>
      </c>
      <c r="C936">
        <f>LOG10(1.00874)</f>
        <v>3.7792424351126498E-3</v>
      </c>
      <c r="D936">
        <f>LOG10(3.516554)</f>
        <v>0.54611729080159588</v>
      </c>
    </row>
    <row r="937" spans="1:4">
      <c r="A937">
        <v>1.008405</v>
      </c>
      <c r="B937">
        <v>3.6150709999999999</v>
      </c>
      <c r="C937">
        <f>LOG10(1.008405)</f>
        <v>3.6349903830537557E-3</v>
      </c>
      <c r="D937">
        <f>LOG10(3.615071)</f>
        <v>0.55811683125860334</v>
      </c>
    </row>
    <row r="938" spans="1:4">
      <c r="A938">
        <v>1.008427</v>
      </c>
      <c r="B938">
        <v>3.7024560000000002</v>
      </c>
      <c r="C938">
        <f>LOG10(1.008427)</f>
        <v>3.6444651222509086E-3</v>
      </c>
      <c r="D938">
        <f>LOG10(3.702456)</f>
        <v>0.56848990606677785</v>
      </c>
    </row>
    <row r="939" spans="1:4">
      <c r="A939">
        <v>1.0079830000000001</v>
      </c>
      <c r="B939">
        <v>3.6455630000000001</v>
      </c>
      <c r="C939">
        <f>LOG10(1.007983)</f>
        <v>3.4532076368373236E-3</v>
      </c>
      <c r="D939">
        <f>LOG10(3.645563)</f>
        <v>0.56176460780135795</v>
      </c>
    </row>
    <row r="940" spans="1:4">
      <c r="A940">
        <v>1.009884</v>
      </c>
      <c r="B940">
        <v>3.823032</v>
      </c>
      <c r="C940">
        <f>LOG10(1.009884)</f>
        <v>4.2714915518252015E-3</v>
      </c>
      <c r="D940">
        <f>LOG10(3.823032)</f>
        <v>0.5824079332178923</v>
      </c>
    </row>
    <row r="941" spans="1:4">
      <c r="A941">
        <v>1.0093350000000001</v>
      </c>
      <c r="B941">
        <v>3.9559530000000001</v>
      </c>
      <c r="C941">
        <f>LOG10(1.009335)</f>
        <v>4.0353332386953034E-3</v>
      </c>
      <c r="D941">
        <f>LOG10(3.955953)</f>
        <v>0.59725112317744111</v>
      </c>
    </row>
    <row r="942" spans="1:4">
      <c r="A942">
        <v>1.0091829999999999</v>
      </c>
      <c r="B942">
        <v>3.9040309999999998</v>
      </c>
      <c r="C942">
        <f>LOG10(1.009183)</f>
        <v>3.9699260821833126E-3</v>
      </c>
      <c r="D942">
        <f>LOG10(3.904031)</f>
        <v>0.59151325752833417</v>
      </c>
    </row>
    <row r="943" spans="1:4">
      <c r="A943">
        <v>1.0068809999999999</v>
      </c>
      <c r="B943">
        <v>3.9598469999999999</v>
      </c>
      <c r="C943">
        <f>LOG10(1.006881)</f>
        <v>2.9781457301486223E-3</v>
      </c>
      <c r="D943">
        <f>LOG10(3.959847)</f>
        <v>0.59767840604182532</v>
      </c>
    </row>
    <row r="944" spans="1:4">
      <c r="A944">
        <v>1.0107600000000001</v>
      </c>
      <c r="B944">
        <v>4.0126749999999998</v>
      </c>
      <c r="C944">
        <f>LOG10(1.01076)</f>
        <v>4.6480467391627331E-3</v>
      </c>
      <c r="D944">
        <f>LOG10(4.012675)</f>
        <v>0.60343398619224986</v>
      </c>
    </row>
    <row r="945" spans="1:4">
      <c r="A945">
        <v>1.009765</v>
      </c>
      <c r="B945">
        <v>4.0888150000000003</v>
      </c>
      <c r="C945">
        <f>LOG10(1.009765)</f>
        <v>4.2203133090649141E-3</v>
      </c>
      <c r="D945">
        <f>LOG10(4.088815)</f>
        <v>0.61159746117875935</v>
      </c>
    </row>
    <row r="946" spans="1:4">
      <c r="A946">
        <v>1.008999</v>
      </c>
      <c r="B946">
        <v>4.1344510000000003</v>
      </c>
      <c r="C946">
        <f>LOG10(1.008999)</f>
        <v>3.8907358160015794E-3</v>
      </c>
      <c r="D946">
        <f>LOG10(4.134451)</f>
        <v>0.61641784919693965</v>
      </c>
    </row>
    <row r="947" spans="1:4">
      <c r="A947">
        <v>1.008772</v>
      </c>
      <c r="B947">
        <v>4.2176010000000002</v>
      </c>
      <c r="C947">
        <f>LOG10(1.008772)</f>
        <v>3.7930192289280852E-3</v>
      </c>
      <c r="D947">
        <f>LOG10(4.217601)</f>
        <v>0.62506549154983138</v>
      </c>
    </row>
    <row r="948" spans="1:4">
      <c r="A948">
        <v>1.011374</v>
      </c>
      <c r="B948">
        <v>4.1402900000000002</v>
      </c>
      <c r="C948">
        <f>LOG10(1.011374)</f>
        <v>4.9117847704539712E-3</v>
      </c>
      <c r="D948">
        <f>LOG10(4.14029)</f>
        <v>0.61703076164960113</v>
      </c>
    </row>
    <row r="949" spans="1:4">
      <c r="A949">
        <v>1.0087740000000001</v>
      </c>
      <c r="B949">
        <v>4.1649149999999997</v>
      </c>
      <c r="C949">
        <f>LOG10(1.008774)</f>
        <v>3.7938802640309593E-3</v>
      </c>
      <c r="D949">
        <f>LOG10(4.164915)</f>
        <v>0.61960614249967294</v>
      </c>
    </row>
    <row r="950" spans="1:4">
      <c r="A950">
        <v>1.009879</v>
      </c>
      <c r="B950">
        <v>3.9165649999999999</v>
      </c>
      <c r="C950">
        <f>LOG10(1.009879)</f>
        <v>4.2693413268636241E-3</v>
      </c>
      <c r="D950">
        <f>LOG10(3.916565)</f>
        <v>0.59290533856586547</v>
      </c>
    </row>
    <row r="951" spans="1:4">
      <c r="A951">
        <v>1.1194189999999999</v>
      </c>
      <c r="B951">
        <v>3.8245719999999999</v>
      </c>
      <c r="C951">
        <f>LOG10(1.119419)</f>
        <v>4.8992673952815924E-2</v>
      </c>
      <c r="D951">
        <f>LOG10(3.824572)</f>
        <v>0.58258284120506609</v>
      </c>
    </row>
    <row r="952" spans="1:4">
      <c r="A952">
        <v>1.0794189999999999</v>
      </c>
      <c r="B952">
        <v>3.8774250000000001</v>
      </c>
      <c r="C952">
        <f>LOG10(1.079419)</f>
        <v>3.3190058274806589E-2</v>
      </c>
      <c r="D952">
        <f>LOG10(3.877425)</f>
        <v>0.58854340612428668</v>
      </c>
    </row>
    <row r="953" spans="1:4">
      <c r="A953">
        <v>1.11429</v>
      </c>
      <c r="B953">
        <v>3.5873729999999999</v>
      </c>
      <c r="C953">
        <f>LOG10(1.11429)</f>
        <v>4.6998233036403277E-2</v>
      </c>
      <c r="D953">
        <f>LOG10(3.587373)</f>
        <v>0.55477653514260772</v>
      </c>
    </row>
    <row r="954" spans="1:4">
      <c r="A954">
        <v>1.1186290000000001</v>
      </c>
      <c r="B954">
        <v>3.4799000000000002</v>
      </c>
      <c r="C954">
        <f>LOG10(1.118629)</f>
        <v>4.8686074045259702E-2</v>
      </c>
      <c r="D954">
        <f>LOG10(3.4799)</f>
        <v>0.54156676404077964</v>
      </c>
    </row>
    <row r="955" spans="1:4">
      <c r="A955">
        <v>1.113097</v>
      </c>
      <c r="B955">
        <v>4.1081320000000003</v>
      </c>
      <c r="C955">
        <f>LOG10(1.113097)</f>
        <v>4.6533012249485861E-2</v>
      </c>
      <c r="D955">
        <f>LOG10(4.108132)</f>
        <v>0.61364438963570933</v>
      </c>
    </row>
    <row r="956" spans="1:4">
      <c r="A956">
        <v>1.1005590000000001</v>
      </c>
      <c r="B956">
        <v>3.7395399999999999</v>
      </c>
      <c r="C956">
        <f>LOG10(1.100559)</f>
        <v>4.1613329658650521E-2</v>
      </c>
      <c r="D956">
        <f>LOG10(3.73954)</f>
        <v>0.57281818301643206</v>
      </c>
    </row>
    <row r="957" spans="1:4">
      <c r="A957">
        <v>1.0916650000000001</v>
      </c>
      <c r="B957">
        <v>4.1173840000000004</v>
      </c>
      <c r="C957">
        <f>LOG10(1.091665)</f>
        <v>3.8089386562622791E-2</v>
      </c>
      <c r="D957">
        <f>LOG10(4.117384)</f>
        <v>0.61462137253649707</v>
      </c>
    </row>
    <row r="958" spans="1:4">
      <c r="A958">
        <v>1.098759</v>
      </c>
      <c r="B958">
        <v>3.89798</v>
      </c>
      <c r="C958">
        <f>LOG10(1.098759)</f>
        <v>4.0902445428202927E-2</v>
      </c>
      <c r="D958">
        <f>LOG10(3.89798)</f>
        <v>0.59083960648198208</v>
      </c>
    </row>
    <row r="959" spans="1:4">
      <c r="A959">
        <v>1.1184769999999999</v>
      </c>
      <c r="B959">
        <v>3.9017870000000001</v>
      </c>
      <c r="C959">
        <f>LOG10(1.118477)</f>
        <v>4.8627057832929178E-2</v>
      </c>
      <c r="D959">
        <f>LOG10(3.901787)</f>
        <v>0.59126355740869585</v>
      </c>
    </row>
    <row r="960" spans="1:4">
      <c r="A960">
        <v>1.097766</v>
      </c>
      <c r="B960">
        <v>3.8024810000000002</v>
      </c>
      <c r="C960">
        <f>LOG10(1.097766)</f>
        <v>4.0509775688583258E-2</v>
      </c>
      <c r="D960">
        <f>LOG10(3.802481)</f>
        <v>0.58006705267486602</v>
      </c>
    </row>
    <row r="961" spans="1:4">
      <c r="A961">
        <v>1.0753159999999999</v>
      </c>
      <c r="B961">
        <v>3.8247260000000001</v>
      </c>
      <c r="C961">
        <f>LOG10(1.075316)</f>
        <v>3.1536107869835892E-2</v>
      </c>
      <c r="D961">
        <f>LOG10(3.824726)</f>
        <v>0.58260032813006812</v>
      </c>
    </row>
    <row r="962" spans="1:4">
      <c r="A962">
        <v>1.097561</v>
      </c>
      <c r="B962">
        <v>3.8952399999999998</v>
      </c>
      <c r="C962">
        <f>LOG10(1.097561)</f>
        <v>4.0428666706596568E-2</v>
      </c>
      <c r="D962">
        <f>LOG10(3.89524)</f>
        <v>0.59053422130629163</v>
      </c>
    </row>
    <row r="963" spans="1:4">
      <c r="A963">
        <v>1.071043</v>
      </c>
      <c r="B963">
        <v>3.9740220000000002</v>
      </c>
      <c r="C963">
        <f>LOG10(1.071043)</f>
        <v>2.9806907141700333E-2</v>
      </c>
      <c r="D963">
        <f>LOG10(3.974022)</f>
        <v>0.59923026701439908</v>
      </c>
    </row>
    <row r="964" spans="1:4">
      <c r="A964">
        <v>1.1232200000000001</v>
      </c>
      <c r="B964">
        <v>3.8815089999999999</v>
      </c>
      <c r="C964">
        <f>LOG10(1.12322)</f>
        <v>5.0464827880733074E-2</v>
      </c>
      <c r="D964">
        <f>LOG10(3.881509)</f>
        <v>0.58900059749307365</v>
      </c>
    </row>
    <row r="965" spans="1:4">
      <c r="A965">
        <v>1.0493479999999999</v>
      </c>
      <c r="B965">
        <v>3.7308409999999999</v>
      </c>
      <c r="C965">
        <f>LOG10(1.049348)</f>
        <v>2.0919539114651914E-2</v>
      </c>
      <c r="D965">
        <f>LOG10(3.730841)</f>
        <v>0.57180674078726723</v>
      </c>
    </row>
    <row r="966" spans="1:4">
      <c r="A966">
        <v>1.1192820000000001</v>
      </c>
      <c r="B966">
        <v>3.8348119999999999</v>
      </c>
      <c r="C966">
        <f>LOG10(1.119282)</f>
        <v>4.8939519606527655E-2</v>
      </c>
      <c r="D966">
        <f>LOG10(3.834812)</f>
        <v>0.5837440777077042</v>
      </c>
    </row>
    <row r="967" spans="1:4">
      <c r="A967">
        <v>1.0656049999999999</v>
      </c>
      <c r="B967">
        <v>3.932763</v>
      </c>
      <c r="C967">
        <f>LOG10(1.065605)</f>
        <v>2.7596249614622068E-2</v>
      </c>
      <c r="D967">
        <f>LOG10(3.932763)</f>
        <v>0.59469777532062484</v>
      </c>
    </row>
    <row r="968" spans="1:4">
      <c r="A968">
        <v>1.10629</v>
      </c>
      <c r="B968">
        <v>3.6834750000000001</v>
      </c>
      <c r="C968">
        <f>LOG10(1.10629)</f>
        <v>4.3868986725287613E-2</v>
      </c>
      <c r="D968">
        <f>LOG10(3.683475)</f>
        <v>0.56625772661417095</v>
      </c>
    </row>
    <row r="969" spans="1:4">
      <c r="A969">
        <v>1.0970660000000001</v>
      </c>
      <c r="B969">
        <v>3.7596820000000002</v>
      </c>
      <c r="C969">
        <f>LOG10(1.097066)</f>
        <v>4.023275571836251E-2</v>
      </c>
      <c r="D969">
        <f>LOG10(3.759682)</f>
        <v>0.57515111314955458</v>
      </c>
    </row>
    <row r="970" spans="1:4">
      <c r="A970">
        <v>1.1125</v>
      </c>
      <c r="B970">
        <v>3.7348819999999998</v>
      </c>
      <c r="C970">
        <f>LOG10(1.1125)</f>
        <v>4.6300019652969218E-2</v>
      </c>
      <c r="D970">
        <f>LOG10(3.734882)</f>
        <v>0.57227688525224707</v>
      </c>
    </row>
    <row r="971" spans="1:4">
      <c r="A971">
        <v>1.097361</v>
      </c>
      <c r="B971">
        <v>3.7499769999999999</v>
      </c>
      <c r="C971">
        <f>LOG10(1.097361)</f>
        <v>4.0349521391527483E-2</v>
      </c>
      <c r="D971">
        <f>LOG10(3.749977)</f>
        <v>0.57402860404672784</v>
      </c>
    </row>
    <row r="972" spans="1:4">
      <c r="A972">
        <v>1.124042</v>
      </c>
      <c r="B972">
        <v>3.689387</v>
      </c>
      <c r="C972">
        <f>LOG10(1.124042)</f>
        <v>5.078253901547878E-2</v>
      </c>
      <c r="D972">
        <f>LOG10(3.689387)</f>
        <v>0.56695421314200922</v>
      </c>
    </row>
    <row r="973" spans="1:4">
      <c r="A973">
        <v>1.11327</v>
      </c>
      <c r="B973">
        <v>3.774349</v>
      </c>
      <c r="C973">
        <f>LOG10(1.11327)</f>
        <v>4.6600506014458552E-2</v>
      </c>
      <c r="D973">
        <f>LOG10(3.774349)</f>
        <v>0.57684205527948706</v>
      </c>
    </row>
    <row r="974" spans="1:4">
      <c r="A974">
        <v>1.090795</v>
      </c>
      <c r="B974">
        <v>3.7167029999999999</v>
      </c>
      <c r="C974">
        <f>LOG10(1.090795)</f>
        <v>3.7743138549582798E-2</v>
      </c>
      <c r="D974">
        <f>LOG10(3.716703)</f>
        <v>0.57015785821313991</v>
      </c>
    </row>
    <row r="975" spans="1:4">
      <c r="A975">
        <v>1.112363</v>
      </c>
      <c r="B975">
        <v>3.7750210000000002</v>
      </c>
      <c r="C975">
        <f>LOG10(1.112363)</f>
        <v>4.6246534702124184E-2</v>
      </c>
      <c r="D975">
        <f>LOG10(3.775021)</f>
        <v>0.57691937190130049</v>
      </c>
    </row>
    <row r="976" spans="1:4">
      <c r="A976">
        <v>1.1118429999999999</v>
      </c>
      <c r="B976">
        <v>3.7979750000000001</v>
      </c>
      <c r="C976">
        <f>LOG10(1.111843)</f>
        <v>4.6043466160177723E-2</v>
      </c>
      <c r="D976">
        <f>LOG10(3.797975)</f>
        <v>0.57955210168646965</v>
      </c>
    </row>
    <row r="977" spans="1:4">
      <c r="A977">
        <v>1.1028370000000001</v>
      </c>
      <c r="B977">
        <v>3.7679469999999999</v>
      </c>
      <c r="C977">
        <f>LOG10(1.102837)</f>
        <v>4.2511328186613344E-2</v>
      </c>
      <c r="D977">
        <f>LOG10(3.767947)</f>
        <v>0.57610478537099286</v>
      </c>
    </row>
    <row r="978" spans="1:4">
      <c r="A978">
        <v>1.10232</v>
      </c>
      <c r="B978">
        <v>3.765984</v>
      </c>
      <c r="C978">
        <f>LOG10(1.10232)</f>
        <v>4.2307687129529474E-2</v>
      </c>
      <c r="D978">
        <f>LOG10(3.765984)</f>
        <v>0.57587847055943742</v>
      </c>
    </row>
    <row r="979" spans="1:4">
      <c r="A979">
        <v>1.0945039999999999</v>
      </c>
      <c r="B979">
        <v>3.860716</v>
      </c>
      <c r="C979">
        <f>LOG10(1.094504)</f>
        <v>3.9217353089654662E-2</v>
      </c>
      <c r="D979">
        <f>LOG10(3.860716)</f>
        <v>0.58666785545226141</v>
      </c>
    </row>
    <row r="980" spans="1:4">
      <c r="A980">
        <v>1.11378</v>
      </c>
      <c r="B980">
        <v>3.740062</v>
      </c>
      <c r="C980">
        <f>LOG10(1.11378)</f>
        <v>4.6799415055245659E-2</v>
      </c>
      <c r="D980">
        <f>LOG10(3.740062)</f>
        <v>0.5728788016749975</v>
      </c>
    </row>
    <row r="981" spans="1:4">
      <c r="A981">
        <v>1.106341</v>
      </c>
      <c r="B981">
        <v>3.7908379999999999</v>
      </c>
      <c r="C981">
        <f>LOG10(1.106341)</f>
        <v>4.3889007251603121E-2</v>
      </c>
      <c r="D981">
        <f>LOG10(3.790838)</f>
        <v>0.57873522541578859</v>
      </c>
    </row>
    <row r="982" spans="1:4">
      <c r="A982">
        <v>1.109334</v>
      </c>
      <c r="B982">
        <v>3.8080250000000002</v>
      </c>
      <c r="C982">
        <f>LOG10(1.109334)</f>
        <v>4.5062323893225474E-2</v>
      </c>
      <c r="D982">
        <f>LOG10(3.808025)</f>
        <v>0.58069979090109425</v>
      </c>
    </row>
    <row r="983" spans="1:4">
      <c r="A983">
        <v>1.135354</v>
      </c>
      <c r="B983">
        <v>3.7754720000000002</v>
      </c>
      <c r="C983">
        <f>LOG10(1.135354)</f>
        <v>5.5131294371631855E-2</v>
      </c>
      <c r="D983">
        <f>LOG10(3.775472)</f>
        <v>0.5769712537616164</v>
      </c>
    </row>
    <row r="984" spans="1:4">
      <c r="A984">
        <v>1.1284810000000001</v>
      </c>
      <c r="B984">
        <v>3.8338760000000001</v>
      </c>
      <c r="C984">
        <f>LOG10(1.128481)</f>
        <v>5.2494251349429095E-2</v>
      </c>
      <c r="D984">
        <f>LOG10(3.833876)</f>
        <v>0.58363806227531734</v>
      </c>
    </row>
    <row r="985" spans="1:4">
      <c r="A985">
        <v>1.1345799999999999</v>
      </c>
      <c r="B985">
        <v>3.9967999999999999</v>
      </c>
      <c r="C985">
        <f>LOG10(1.13458)</f>
        <v>5.4835123697047843E-2</v>
      </c>
      <c r="D985">
        <f>LOG10(3.9968)</f>
        <v>0.60171241669404152</v>
      </c>
    </row>
    <row r="986" spans="1:4">
      <c r="A986">
        <v>1.165448</v>
      </c>
      <c r="B986">
        <v>3.8864679999999998</v>
      </c>
      <c r="C986">
        <f>LOG10(1.165448)</f>
        <v>6.6492900922350134E-2</v>
      </c>
      <c r="D986">
        <f>LOG10(3.886468)</f>
        <v>0.5895550962070446</v>
      </c>
    </row>
    <row r="987" spans="1:4">
      <c r="A987">
        <v>1.137364</v>
      </c>
      <c r="B987">
        <v>3.7310500000000002</v>
      </c>
      <c r="C987">
        <f>LOG10(1.137364)</f>
        <v>5.589947778569318E-2</v>
      </c>
      <c r="D987">
        <f>LOG10(3.73105)</f>
        <v>0.57183106908333636</v>
      </c>
    </row>
    <row r="988" spans="1:4">
      <c r="A988">
        <v>1.133311</v>
      </c>
      <c r="B988">
        <v>3.8915419999999998</v>
      </c>
      <c r="C988">
        <f>LOG10(1.133311)</f>
        <v>5.434910408230164E-2</v>
      </c>
      <c r="D988">
        <f>LOG10(3.891542)</f>
        <v>0.59012172199275814</v>
      </c>
    </row>
    <row r="989" spans="1:4">
      <c r="A989">
        <v>1.139567</v>
      </c>
      <c r="B989">
        <v>3.8247010000000001</v>
      </c>
      <c r="C989">
        <f>LOG10(1.139567)</f>
        <v>5.6739864290313614E-2</v>
      </c>
      <c r="D989">
        <f>LOG10(3.824701)</f>
        <v>0.58259748939141554</v>
      </c>
    </row>
    <row r="990" spans="1:4">
      <c r="A990">
        <v>1.135947</v>
      </c>
      <c r="B990">
        <v>3.8973939999999998</v>
      </c>
      <c r="C990">
        <f>LOG10(1.135947)</f>
        <v>5.5358068923855711E-2</v>
      </c>
      <c r="D990">
        <f>LOG10(3.897394)</f>
        <v>0.59077431222749865</v>
      </c>
    </row>
    <row r="991" spans="1:4">
      <c r="A991">
        <v>1.10883</v>
      </c>
      <c r="B991">
        <v>3.8304390000000001</v>
      </c>
      <c r="C991">
        <f>LOG10(1.10883)</f>
        <v>4.4864967500599845E-2</v>
      </c>
      <c r="D991">
        <f>LOG10(3.830439)</f>
        <v>0.5832485505617826</v>
      </c>
    </row>
    <row r="992" spans="1:4">
      <c r="A992">
        <v>1.106436</v>
      </c>
      <c r="B992">
        <v>3.883394</v>
      </c>
      <c r="C992">
        <f>LOG10(1.106436)</f>
        <v>4.3926297928256156E-2</v>
      </c>
      <c r="D992">
        <f>LOG10(3.883394)</f>
        <v>0.5892114552757064</v>
      </c>
    </row>
    <row r="993" spans="1:4">
      <c r="A993">
        <v>1.104981</v>
      </c>
      <c r="B993">
        <v>4.0202960000000001</v>
      </c>
      <c r="C993">
        <f>LOG10(1.104981)</f>
        <v>4.3354810449999823E-2</v>
      </c>
      <c r="D993">
        <f>LOG10(4.020296)</f>
        <v>0.60425802980938204</v>
      </c>
    </row>
    <row r="994" spans="1:4">
      <c r="A994">
        <v>1.1015159999999999</v>
      </c>
      <c r="B994">
        <v>3.8784269999999998</v>
      </c>
      <c r="C994">
        <f>LOG10(1.101516)</f>
        <v>4.1990809849240938E-2</v>
      </c>
      <c r="D994">
        <f>LOG10(3.878427)</f>
        <v>0.58865562153873452</v>
      </c>
    </row>
    <row r="995" spans="1:4">
      <c r="A995">
        <v>1.1395150000000001</v>
      </c>
      <c r="B995">
        <v>3.8267549999999999</v>
      </c>
      <c r="C995">
        <f>LOG10(1.139515)</f>
        <v>5.6720046387260664E-2</v>
      </c>
      <c r="D995">
        <f>LOG10(3.826755)</f>
        <v>0.58283065831697867</v>
      </c>
    </row>
    <row r="996" spans="1:4">
      <c r="A996">
        <v>1.124344</v>
      </c>
      <c r="B996">
        <v>3.9297580000000001</v>
      </c>
      <c r="C996">
        <f>LOG10(1.124344)</f>
        <v>5.0899206646680489E-2</v>
      </c>
      <c r="D996">
        <f>LOG10(3.929758)</f>
        <v>0.59436580673658856</v>
      </c>
    </row>
    <row r="997" spans="1:4">
      <c r="A997">
        <v>1.141915</v>
      </c>
      <c r="B997">
        <v>3.8303560000000001</v>
      </c>
      <c r="C997">
        <f>LOG10(1.141915)</f>
        <v>5.7633777811021879E-2</v>
      </c>
      <c r="D997">
        <f>LOG10(3.830356)</f>
        <v>0.5832391399348178</v>
      </c>
    </row>
    <row r="998" spans="1:4">
      <c r="A998">
        <v>1.0963210000000001</v>
      </c>
      <c r="B998">
        <v>3.8707739999999999</v>
      </c>
      <c r="C998">
        <f>LOG10(1.096321)</f>
        <v>3.9937733087645505E-2</v>
      </c>
      <c r="D998">
        <f>LOG10(3.870774)</f>
        <v>0.58779781523056041</v>
      </c>
    </row>
    <row r="999" spans="1:4">
      <c r="A999">
        <v>1.1175790000000001</v>
      </c>
      <c r="B999">
        <v>2.8823300000000001</v>
      </c>
      <c r="C999">
        <f>LOG10(1.117579)</f>
        <v>4.8278232521116245E-2</v>
      </c>
      <c r="D999">
        <f>LOG10(2.88233)</f>
        <v>0.45974370200693387</v>
      </c>
    </row>
    <row r="1000" spans="1:4">
      <c r="A1000">
        <v>1.0087250000000001</v>
      </c>
      <c r="B1000">
        <v>4.1291710000000004</v>
      </c>
      <c r="C1000">
        <f>LOG10(1.008725)</f>
        <v>3.7727844125659241E-3</v>
      </c>
      <c r="D1000">
        <f>LOG10(4.129171)</f>
        <v>0.61586286854160499</v>
      </c>
    </row>
    <row r="1001" spans="1:4">
      <c r="A1001">
        <v>1.0079739999999999</v>
      </c>
      <c r="B1001">
        <v>4.130217</v>
      </c>
      <c r="C1001">
        <f>LOG10(1.007974)</f>
        <v>3.4493299248253913E-3</v>
      </c>
      <c r="D1001">
        <f>LOG10(4.130217)</f>
        <v>0.61597286991955191</v>
      </c>
    </row>
    <row r="1002" spans="1:4">
      <c r="A1002">
        <v>1.00963</v>
      </c>
      <c r="B1002">
        <v>3.9357160000000002</v>
      </c>
      <c r="C1002">
        <f>LOG10(1.00963)</f>
        <v>4.1622466552955631E-3</v>
      </c>
      <c r="D1002">
        <f>LOG10(3.935716)</f>
        <v>0.59502375233988636</v>
      </c>
    </row>
    <row r="1003" spans="1:4">
      <c r="A1003">
        <v>1.011083</v>
      </c>
      <c r="B1003">
        <v>3.6770010000000002</v>
      </c>
      <c r="C1003">
        <f>LOG10(1.011083)</f>
        <v>4.786808372828708E-3</v>
      </c>
      <c r="D1003">
        <f>LOG10(3.677001)</f>
        <v>0.56549374797993746</v>
      </c>
    </row>
    <row r="1004" spans="1:4">
      <c r="A1004">
        <v>1.010302</v>
      </c>
      <c r="B1004">
        <v>4.528626</v>
      </c>
      <c r="C1004">
        <f>LOG10(1.010302)</f>
        <v>4.4512127220800437E-3</v>
      </c>
      <c r="D1004">
        <f>LOG10(4.528626)</f>
        <v>0.65596645562597122</v>
      </c>
    </row>
    <row r="1005" spans="1:4">
      <c r="A1005">
        <v>1.0078229999999999</v>
      </c>
      <c r="B1005">
        <v>3.9834420000000001</v>
      </c>
      <c r="C1005">
        <f>LOG10(1.007823)</f>
        <v>3.3842653703191035E-3</v>
      </c>
      <c r="D1005">
        <f>LOG10(3.983442)</f>
        <v>0.60025849810172927</v>
      </c>
    </row>
    <row r="1006" spans="1:4">
      <c r="A1006">
        <v>1.0097290000000001</v>
      </c>
      <c r="B1006">
        <v>4.355245</v>
      </c>
      <c r="C1006">
        <f>LOG10(1.009729)</f>
        <v>4.2048296271622789E-3</v>
      </c>
      <c r="D1006">
        <f>LOG10(4.355245)</f>
        <v>0.63901259083742168</v>
      </c>
    </row>
    <row r="1007" spans="1:4">
      <c r="A1007">
        <v>1.0090140000000001</v>
      </c>
      <c r="B1007">
        <v>4.2890810000000004</v>
      </c>
      <c r="C1007">
        <f>LOG10(1.009014)</f>
        <v>3.897192084844953E-3</v>
      </c>
      <c r="D1007">
        <f>LOG10(4.289081)</f>
        <v>0.63236424803922764</v>
      </c>
    </row>
    <row r="1008" spans="1:4">
      <c r="A1008">
        <v>1.008775</v>
      </c>
      <c r="B1008">
        <v>4.1186910000000001</v>
      </c>
      <c r="C1008">
        <f>LOG10(1.008775)</f>
        <v>3.7943107809421893E-3</v>
      </c>
      <c r="D1008">
        <f>LOG10(4.118691)</f>
        <v>0.61475921074040185</v>
      </c>
    </row>
    <row r="1009" spans="1:4">
      <c r="A1009">
        <v>1.0101929999999999</v>
      </c>
      <c r="B1009">
        <v>3.966513</v>
      </c>
      <c r="C1009">
        <f>LOG10(1.010193)</f>
        <v>4.4043548000624825E-3</v>
      </c>
      <c r="D1009">
        <f>LOG10(3.966513)</f>
        <v>0.59840888199771958</v>
      </c>
    </row>
    <row r="1010" spans="1:4">
      <c r="A1010">
        <v>1.0086040000000001</v>
      </c>
      <c r="B1010">
        <v>3.9789349999999999</v>
      </c>
      <c r="C1010">
        <f>LOG10(1.008604)</f>
        <v>3.7206861852828897E-3</v>
      </c>
      <c r="D1010">
        <f>LOG10(3.978935)</f>
        <v>0.59976684455681839</v>
      </c>
    </row>
    <row r="1011" spans="1:4">
      <c r="A1011">
        <v>1.0076890000000001</v>
      </c>
      <c r="B1011">
        <v>4.0869759999999999</v>
      </c>
      <c r="C1011">
        <f>LOG10(1.007689)</f>
        <v>3.3265177998152138E-3</v>
      </c>
      <c r="D1011">
        <f>LOG10(4.086976)</f>
        <v>0.61140208740619362</v>
      </c>
    </row>
    <row r="1012" spans="1:4">
      <c r="A1012">
        <v>1.0176050000000001</v>
      </c>
      <c r="B1012">
        <v>4.1271180000000003</v>
      </c>
      <c r="C1012">
        <f>LOG10(1.017605)</f>
        <v>7.579232214592964E-3</v>
      </c>
      <c r="D1012">
        <f>LOG10(4.127118)</f>
        <v>0.61564688613359486</v>
      </c>
    </row>
    <row r="1013" spans="1:4">
      <c r="A1013">
        <v>1.010942</v>
      </c>
      <c r="B1013">
        <v>4.1545610000000002</v>
      </c>
      <c r="C1013">
        <f>LOG10(1.010942)</f>
        <v>4.7262398615119938E-3</v>
      </c>
      <c r="D1013">
        <f>LOG10(4.154561)</f>
        <v>0.61852513994920644</v>
      </c>
    </row>
    <row r="1014" spans="1:4">
      <c r="A1014">
        <v>1.0076989999999999</v>
      </c>
      <c r="B1014">
        <v>4.1025539999999996</v>
      </c>
      <c r="C1014">
        <f>LOG10(1.007699)</f>
        <v>3.3308275851458798E-3</v>
      </c>
      <c r="D1014">
        <f>LOG10(4.102554)</f>
        <v>0.61305430617794709</v>
      </c>
    </row>
    <row r="1015" spans="1:4">
      <c r="A1015">
        <v>1.0091779999999999</v>
      </c>
      <c r="B1015">
        <v>4.1494200000000001</v>
      </c>
      <c r="C1015">
        <f>LOG10(1.009178)</f>
        <v>3.9677743636259933E-3</v>
      </c>
      <c r="D1015">
        <f>LOG10(4.14942)</f>
        <v>0.6179873958920562</v>
      </c>
    </row>
    <row r="1016" spans="1:4">
      <c r="A1016">
        <v>1.008721</v>
      </c>
      <c r="B1016">
        <v>4.3162969999999996</v>
      </c>
      <c r="C1016">
        <f>LOG10(1.008721)</f>
        <v>3.7710622570012492E-3</v>
      </c>
      <c r="D1016">
        <f>LOG10(4.316297)</f>
        <v>0.63511132039997042</v>
      </c>
    </row>
    <row r="1017" spans="1:4">
      <c r="A1017">
        <v>1.0080560000000001</v>
      </c>
      <c r="B1017">
        <v>3.9037410000000001</v>
      </c>
      <c r="C1017">
        <f>LOG10(1.008056)</f>
        <v>3.4846589105406484E-3</v>
      </c>
      <c r="D1017">
        <f>LOG10(3.903741)</f>
        <v>0.59148099598181114</v>
      </c>
    </row>
    <row r="1018" spans="1:4">
      <c r="A1018">
        <v>1.0081990000000001</v>
      </c>
      <c r="B1018">
        <v>3.9836140000000002</v>
      </c>
      <c r="C1018">
        <f>LOG10(1.008199)</f>
        <v>3.5462623396865628E-3</v>
      </c>
      <c r="D1018">
        <f>LOG10(3.983614)</f>
        <v>0.60027724998470811</v>
      </c>
    </row>
    <row r="1019" spans="1:4">
      <c r="A1019">
        <v>1.0113920000000001</v>
      </c>
      <c r="B1019">
        <v>3.9261819999999998</v>
      </c>
      <c r="C1019">
        <f>LOG10(1.011392)</f>
        <v>4.9195140883033879E-3</v>
      </c>
      <c r="D1019">
        <f>LOG10(3.926182)</f>
        <v>0.59397042765412311</v>
      </c>
    </row>
    <row r="1020" spans="1:4">
      <c r="A1020">
        <v>1.010686</v>
      </c>
      <c r="B1020">
        <v>3.9322750000000002</v>
      </c>
      <c r="C1020">
        <f>LOG10(1.010686)</f>
        <v>4.6162499049408412E-3</v>
      </c>
      <c r="D1020">
        <f>LOG10(3.932275)</f>
        <v>0.59464388220340392</v>
      </c>
    </row>
    <row r="1021" spans="1:4">
      <c r="A1021">
        <v>1.0104489999999999</v>
      </c>
      <c r="B1021">
        <v>3.846276</v>
      </c>
      <c r="C1021">
        <f>LOG10(1.010449)</f>
        <v>4.5143984277432811E-3</v>
      </c>
      <c r="D1021">
        <f>LOG10(3.846276)</f>
        <v>0.58504044500289598</v>
      </c>
    </row>
    <row r="1022" spans="1:4">
      <c r="A1022">
        <v>1.01136</v>
      </c>
      <c r="B1022">
        <v>3.8274379999999999</v>
      </c>
      <c r="C1022">
        <f>LOG10(1.01136)</f>
        <v>4.9057729836874215E-3</v>
      </c>
      <c r="D1022">
        <f>LOG10(3.827438)</f>
        <v>0.58290816436678106</v>
      </c>
    </row>
    <row r="1023" spans="1:4">
      <c r="A1023">
        <v>1.008473</v>
      </c>
      <c r="B1023">
        <v>3.8245049999999998</v>
      </c>
      <c r="C1023">
        <f>LOG10(1.008473)</f>
        <v>3.6642752726510366E-3</v>
      </c>
      <c r="D1023">
        <f>LOG10(3.824505)</f>
        <v>0.58257523303736469</v>
      </c>
    </row>
    <row r="1024" spans="1:4">
      <c r="A1024">
        <v>1.009012</v>
      </c>
      <c r="B1024">
        <v>3.9405209999999999</v>
      </c>
      <c r="C1024">
        <f>LOG10(1.009012)</f>
        <v>3.8963312545446183E-3</v>
      </c>
      <c r="D1024">
        <f>LOG10(3.940521)</f>
        <v>0.59555364630941254</v>
      </c>
    </row>
    <row r="1025" spans="1:4">
      <c r="A1025">
        <v>1.008721</v>
      </c>
      <c r="B1025">
        <v>3.916264</v>
      </c>
      <c r="C1025">
        <f>LOG10(1.008721)</f>
        <v>3.7710622570012492E-3</v>
      </c>
      <c r="D1025">
        <f>LOG10(3.916264)</f>
        <v>0.5928719604239151</v>
      </c>
    </row>
    <row r="1026" spans="1:4">
      <c r="A1026">
        <v>1.0108029999999999</v>
      </c>
      <c r="B1026">
        <v>3.9036659999999999</v>
      </c>
      <c r="C1026">
        <f>LOG10(1.010803)</f>
        <v>4.6665222086134167E-3</v>
      </c>
      <c r="D1026">
        <f>LOG10(3.903666)</f>
        <v>0.59147265208834077</v>
      </c>
    </row>
    <row r="1027" spans="1:4">
      <c r="A1027">
        <v>1.0077419999999999</v>
      </c>
      <c r="B1027">
        <v>3.8136610000000002</v>
      </c>
      <c r="C1027">
        <f>LOG10(1.007742)</f>
        <v>3.3493591747331512E-3</v>
      </c>
      <c r="D1027">
        <f>LOG10(3.813661)</f>
        <v>0.5813420855708431</v>
      </c>
    </row>
    <row r="1028" spans="1:4">
      <c r="A1028">
        <v>1.011428</v>
      </c>
      <c r="B1028">
        <v>3.9757609999999999</v>
      </c>
      <c r="C1028">
        <f>LOG10(1.011428)</f>
        <v>4.9349723113288032E-3</v>
      </c>
      <c r="D1028">
        <f>LOG10(3.975761)</f>
        <v>0.59942026921095615</v>
      </c>
    </row>
    <row r="1029" spans="1:4">
      <c r="A1029">
        <v>1.009368</v>
      </c>
      <c r="B1029">
        <v>3.9339309999999998</v>
      </c>
      <c r="C1029">
        <f>LOG10(1.009368)</f>
        <v>4.0495321752442286E-3</v>
      </c>
      <c r="D1029">
        <f>LOG10(3.933931)</f>
        <v>0.59482673825183596</v>
      </c>
    </row>
    <row r="1030" spans="1:4">
      <c r="A1030">
        <v>1.0102420000000001</v>
      </c>
      <c r="B1030">
        <v>3.7291379999999998</v>
      </c>
      <c r="C1030">
        <f>LOG10(1.010242)</f>
        <v>4.425419996040094E-3</v>
      </c>
      <c r="D1030">
        <f>LOG10(3.729138)</f>
        <v>0.5716084551042836</v>
      </c>
    </row>
    <row r="1031" spans="1:4">
      <c r="A1031">
        <v>1.0095639999999999</v>
      </c>
      <c r="B1031">
        <v>3.933373</v>
      </c>
      <c r="C1031">
        <f>LOG10(1.009564)</f>
        <v>4.1338556875966936E-3</v>
      </c>
      <c r="D1031">
        <f>LOG10(3.933373)</f>
        <v>0.59476513231381489</v>
      </c>
    </row>
    <row r="1032" spans="1:4">
      <c r="A1032">
        <v>1.0114110000000001</v>
      </c>
      <c r="B1032">
        <v>3.7971750000000002</v>
      </c>
      <c r="C1032">
        <f>LOG10(1.011411)</f>
        <v>4.9276726634650825E-3</v>
      </c>
      <c r="D1032">
        <f>LOG10(3.797175)</f>
        <v>0.5794606128845875</v>
      </c>
    </row>
    <row r="1033" spans="1:4">
      <c r="A1033">
        <v>1.0116560000000001</v>
      </c>
      <c r="B1033">
        <v>4.0080600000000004</v>
      </c>
      <c r="C1033">
        <f>LOG10(1.011656)</f>
        <v>5.0328616152758559E-3</v>
      </c>
      <c r="D1033">
        <f>LOG10(4.00806)</f>
        <v>0.60293421422492632</v>
      </c>
    </row>
    <row r="1034" spans="1:4">
      <c r="A1034">
        <v>1.010408</v>
      </c>
      <c r="B1034">
        <v>4.0118080000000003</v>
      </c>
      <c r="C1034">
        <f>LOG10(1.010408)</f>
        <v>4.4967761281342958E-3</v>
      </c>
      <c r="D1034">
        <f>LOG10(4.011808)</f>
        <v>0.60334014006726577</v>
      </c>
    </row>
    <row r="1035" spans="1:4">
      <c r="A1035">
        <v>1.011622</v>
      </c>
      <c r="B1035">
        <v>3.9511229999999999</v>
      </c>
      <c r="C1035">
        <f>LOG10(1.011622)</f>
        <v>5.0182654872241109E-3</v>
      </c>
      <c r="D1035">
        <f>LOG10(3.951123)</f>
        <v>0.59672054964849264</v>
      </c>
    </row>
    <row r="1036" spans="1:4">
      <c r="A1036">
        <v>1.0070030000000001</v>
      </c>
      <c r="B1036">
        <v>3.8810980000000002</v>
      </c>
      <c r="C1036">
        <f>LOG10(1.007003)</f>
        <v>3.0307643783498979E-3</v>
      </c>
      <c r="D1036">
        <f>LOG10(3.881098)</f>
        <v>0.58895460906876496</v>
      </c>
    </row>
    <row r="1037" spans="1:4">
      <c r="A1037">
        <v>1.0098529999999999</v>
      </c>
      <c r="B1037">
        <v>4.0130220000000003</v>
      </c>
      <c r="C1037">
        <f>LOG10(1.009853)</f>
        <v>4.2581599854478883E-3</v>
      </c>
      <c r="D1037">
        <f>LOG10(4.013022)</f>
        <v>0.60347154060909725</v>
      </c>
    </row>
    <row r="1038" spans="1:4">
      <c r="A1038">
        <v>1.0093449999999999</v>
      </c>
      <c r="B1038">
        <v>4.0662399999999996</v>
      </c>
      <c r="C1038">
        <f>LOG10(1.009345)</f>
        <v>4.0396359957632884E-3</v>
      </c>
      <c r="D1038">
        <f>LOG10(4.06624)</f>
        <v>0.60919300824191502</v>
      </c>
    </row>
    <row r="1039" spans="1:4">
      <c r="A1039">
        <v>1.0109490000000001</v>
      </c>
      <c r="B1039">
        <v>4.0972239999999998</v>
      </c>
      <c r="C1039">
        <f>LOG10(1.010949)</f>
        <v>4.7292470081617133E-3</v>
      </c>
      <c r="D1039">
        <f>LOG10(4.097224)</f>
        <v>0.61248970798649327</v>
      </c>
    </row>
    <row r="1040" spans="1:4">
      <c r="A1040">
        <v>1.008742</v>
      </c>
      <c r="B1040">
        <v>4.1856470000000003</v>
      </c>
      <c r="C1040">
        <f>LOG10(1.008742)</f>
        <v>3.7801034975298922E-3</v>
      </c>
      <c r="D1040">
        <f>LOG10(4.185647)</f>
        <v>0.62176259896288699</v>
      </c>
    </row>
    <row r="1041" spans="1:4">
      <c r="A1041">
        <v>1.0066580000000001</v>
      </c>
      <c r="B1041">
        <v>4.2879370000000003</v>
      </c>
      <c r="C1041">
        <f>LOG10(1.006658)</f>
        <v>2.8819492622775447E-3</v>
      </c>
      <c r="D1041">
        <f>LOG10(4.287937)</f>
        <v>0.63224839591200965</v>
      </c>
    </row>
    <row r="1042" spans="1:4">
      <c r="A1042">
        <v>1.009042</v>
      </c>
      <c r="B1042">
        <v>4.5162909999999998</v>
      </c>
      <c r="C1042">
        <f>LOG10(1.009042)</f>
        <v>3.9092435298930936E-3</v>
      </c>
      <c r="D1042">
        <f>LOG10(4.516291)</f>
        <v>0.65478191722605017</v>
      </c>
    </row>
    <row r="1043" spans="1:4">
      <c r="A1043">
        <v>1.00776</v>
      </c>
      <c r="B1043">
        <v>4.261787</v>
      </c>
      <c r="C1043">
        <f>LOG10(1.00776)</f>
        <v>3.3571163495456774E-3</v>
      </c>
      <c r="D1043">
        <f>LOG10(4.261787)</f>
        <v>0.62959174030163334</v>
      </c>
    </row>
    <row r="1044" spans="1:4">
      <c r="A1044">
        <v>1.0096419999999999</v>
      </c>
      <c r="B1044">
        <v>7.8245769999999997</v>
      </c>
      <c r="C1044">
        <f>LOG10(1.009642)</f>
        <v>4.1674084500244136E-3</v>
      </c>
      <c r="D1044">
        <f>LOG10(7.824577)</f>
        <v>0.89346086870648822</v>
      </c>
    </row>
    <row r="1045" spans="1:4">
      <c r="A1045">
        <v>1.010419</v>
      </c>
      <c r="B1045">
        <v>8.4266649999999998</v>
      </c>
      <c r="C1045">
        <f>LOG10(1.010419)</f>
        <v>4.5015041323632331E-3</v>
      </c>
      <c r="D1045">
        <f>LOG10(8.426665)</f>
        <v>0.92565572899382487</v>
      </c>
    </row>
    <row r="1046" spans="1:4">
      <c r="A1046">
        <v>1.0078240000000001</v>
      </c>
      <c r="B1046">
        <v>8.5856680000000001</v>
      </c>
      <c r="C1046">
        <f>LOG10(1.007824)</f>
        <v>3.384696293473767E-3</v>
      </c>
      <c r="D1046">
        <f>LOG10(8.585668)</f>
        <v>0.93377409069411621</v>
      </c>
    </row>
    <row r="1047" spans="1:4">
      <c r="A1047">
        <v>1.0082660000000001</v>
      </c>
      <c r="B1047">
        <v>8.2484760000000001</v>
      </c>
      <c r="C1047">
        <f>LOG10(1.008266)</f>
        <v>3.5751224788888231E-3</v>
      </c>
      <c r="D1047">
        <f>LOG10(8.248476)</f>
        <v>0.91637371510384158</v>
      </c>
    </row>
    <row r="1048" spans="1:4">
      <c r="A1048">
        <v>1.10131</v>
      </c>
      <c r="B1048">
        <v>3.5501200000000002</v>
      </c>
      <c r="C1048">
        <f>LOG10(1.10131)</f>
        <v>4.190958267693333E-2</v>
      </c>
      <c r="D1048">
        <f>LOG10(3.55012)</f>
        <v>0.55024303318383372</v>
      </c>
    </row>
    <row r="1049" spans="1:4">
      <c r="A1049">
        <v>1.1221380000000001</v>
      </c>
      <c r="B1049">
        <v>3.6199659999999998</v>
      </c>
      <c r="C1049">
        <f>LOG10(1.122138)</f>
        <v>5.0046269534320724E-2</v>
      </c>
      <c r="D1049">
        <f>LOG10(3.619966)</f>
        <v>0.55870449150506396</v>
      </c>
    </row>
    <row r="1050" spans="1:4">
      <c r="A1050">
        <v>1.101218</v>
      </c>
      <c r="B1050">
        <v>3.74404</v>
      </c>
      <c r="C1050">
        <f>LOG10(1.101218)</f>
        <v>4.1873301556004716E-2</v>
      </c>
      <c r="D1050">
        <f>LOG10(3.74404)</f>
        <v>0.57334047993959292</v>
      </c>
    </row>
    <row r="1051" spans="1:4">
      <c r="A1051">
        <v>1.091297</v>
      </c>
      <c r="B1051">
        <v>3.646706</v>
      </c>
      <c r="C1051">
        <f>LOG10(1.091297)</f>
        <v>3.7942961319439986E-2</v>
      </c>
      <c r="D1051">
        <f>LOG10(3.646706)</f>
        <v>0.56190075159881814</v>
      </c>
    </row>
    <row r="1052" spans="1:4">
      <c r="A1052">
        <v>1.0894539999999999</v>
      </c>
      <c r="B1052">
        <v>3.6507900000000002</v>
      </c>
      <c r="C1052">
        <f>LOG10(1.089454)</f>
        <v>3.720889775995459E-2</v>
      </c>
      <c r="D1052">
        <f>LOG10(3.65079)</f>
        <v>0.56238685226931218</v>
      </c>
    </row>
    <row r="1053" spans="1:4">
      <c r="A1053">
        <v>1.095178</v>
      </c>
      <c r="B1053">
        <v>3.5443730000000002</v>
      </c>
      <c r="C1053">
        <f>LOG10(1.095178)</f>
        <v>3.948471108049284E-2</v>
      </c>
      <c r="D1053">
        <f>LOG10(3.544373)</f>
        <v>0.54953941956875596</v>
      </c>
    </row>
    <row r="1054" spans="1:4">
      <c r="A1054">
        <v>1.088511</v>
      </c>
      <c r="B1054">
        <v>3.6568450000000001</v>
      </c>
      <c r="C1054">
        <f>LOG10(1.088511)</f>
        <v>3.6832822182958386E-2</v>
      </c>
      <c r="D1054">
        <f>LOG10(3.656845)</f>
        <v>0.56310655260730769</v>
      </c>
    </row>
    <row r="1055" spans="1:4">
      <c r="A1055">
        <v>1.106263</v>
      </c>
      <c r="B1055">
        <v>3.7888199999999999</v>
      </c>
      <c r="C1055">
        <f>LOG10(1.106263)</f>
        <v>4.3858387249467633E-2</v>
      </c>
      <c r="D1055">
        <f>LOG10(3.78882)</f>
        <v>0.57850397321808045</v>
      </c>
    </row>
    <row r="1056" spans="1:4">
      <c r="A1056">
        <v>1.1037779999999999</v>
      </c>
      <c r="B1056">
        <v>3.8333930000000001</v>
      </c>
      <c r="C1056">
        <f>LOG10(1.103778)</f>
        <v>4.2881733655844641E-2</v>
      </c>
      <c r="D1056">
        <f>LOG10(3.833393)</f>
        <v>0.58358334546936286</v>
      </c>
    </row>
    <row r="1057" spans="1:4">
      <c r="A1057">
        <v>1.125813</v>
      </c>
      <c r="B1057">
        <v>3.7877399999999999</v>
      </c>
      <c r="C1057">
        <f>LOG10(1.125813)</f>
        <v>5.1466259243056929E-2</v>
      </c>
      <c r="D1057">
        <f>LOG10(3.78774)</f>
        <v>0.57838016028882699</v>
      </c>
    </row>
    <row r="1058" spans="1:4">
      <c r="A1058">
        <v>1.131829</v>
      </c>
      <c r="B1058">
        <v>3.753358</v>
      </c>
      <c r="C1058">
        <f>LOG10(1.131829)</f>
        <v>5.3780817341510682E-2</v>
      </c>
      <c r="D1058">
        <f>LOG10(3.753358)</f>
        <v>0.57441998994185128</v>
      </c>
    </row>
    <row r="1059" spans="1:4">
      <c r="A1059">
        <v>1.121983</v>
      </c>
      <c r="B1059">
        <v>3.8808220000000002</v>
      </c>
      <c r="C1059">
        <f>LOG10(1.121983)</f>
        <v>4.9986276650869153E-2</v>
      </c>
      <c r="D1059">
        <f>LOG10(3.880822)</f>
        <v>0.58892372359788769</v>
      </c>
    </row>
    <row r="1060" spans="1:4">
      <c r="A1060">
        <v>1.1145670000000001</v>
      </c>
      <c r="B1060">
        <v>3.7719800000000001</v>
      </c>
      <c r="C1060">
        <f>LOG10(1.114567)</f>
        <v>4.710618035837736E-2</v>
      </c>
      <c r="D1060">
        <f>LOG10(3.77198)</f>
        <v>0.5765693813312861</v>
      </c>
    </row>
    <row r="1061" spans="1:4">
      <c r="A1061">
        <v>1.096249</v>
      </c>
      <c r="B1061">
        <v>3.8294929999999998</v>
      </c>
      <c r="C1061">
        <f>LOG10(1.096249)</f>
        <v>3.9909210210192739E-2</v>
      </c>
      <c r="D1061">
        <f>LOG10(3.829493)</f>
        <v>0.58314128000586396</v>
      </c>
    </row>
    <row r="1062" spans="1:4">
      <c r="A1062">
        <v>1.1113090000000001</v>
      </c>
      <c r="B1062">
        <v>3.81636</v>
      </c>
      <c r="C1062">
        <f>LOG10(1.111309)</f>
        <v>4.5834831520894043E-2</v>
      </c>
      <c r="D1062">
        <f>LOG10(3.81636)</f>
        <v>0.58164933527711438</v>
      </c>
    </row>
    <row r="1063" spans="1:4">
      <c r="A1063">
        <v>1.09846</v>
      </c>
      <c r="B1063">
        <v>3.8138510000000001</v>
      </c>
      <c r="C1063">
        <f>LOG10(1.09846)</f>
        <v>4.0784246877315973E-2</v>
      </c>
      <c r="D1063">
        <f>LOG10(3.813851)</f>
        <v>0.58136372197117359</v>
      </c>
    </row>
    <row r="1064" spans="1:4">
      <c r="A1064">
        <v>1.0993170000000001</v>
      </c>
      <c r="B1064">
        <v>3.7189420000000002</v>
      </c>
      <c r="C1064">
        <f>LOG10(1.099317)</f>
        <v>4.1122944015247007E-2</v>
      </c>
      <c r="D1064">
        <f>LOG10(3.718942)</f>
        <v>0.57041940522738566</v>
      </c>
    </row>
    <row r="1065" spans="1:4">
      <c r="A1065">
        <v>1.1000650000000001</v>
      </c>
      <c r="B1065">
        <v>3.8370489999999999</v>
      </c>
      <c r="C1065">
        <f>LOG10(1.100065)</f>
        <v>4.1418347255783028E-2</v>
      </c>
      <c r="D1065">
        <f>LOG10(3.837049)</f>
        <v>0.58399734527434832</v>
      </c>
    </row>
    <row r="1066" spans="1:4">
      <c r="A1066">
        <v>1.1067739999999999</v>
      </c>
      <c r="B1066">
        <v>3.8797410000000001</v>
      </c>
      <c r="C1066">
        <f>LOG10(1.106774)</f>
        <v>4.4058948274155997E-2</v>
      </c>
      <c r="D1066">
        <f>LOG10(3.879741)</f>
        <v>0.5888027343505936</v>
      </c>
    </row>
    <row r="1067" spans="1:4">
      <c r="A1067">
        <v>1.1113310000000001</v>
      </c>
      <c r="B1067">
        <v>3.8087740000000001</v>
      </c>
      <c r="C1067">
        <f>LOG10(1.111331)</f>
        <v>4.5843428935322082E-2</v>
      </c>
      <c r="D1067">
        <f>LOG10(3.808774)</f>
        <v>0.58078520383321808</v>
      </c>
    </row>
    <row r="1068" spans="1:4">
      <c r="A1068">
        <v>1.113731</v>
      </c>
      <c r="B1068">
        <v>3.917767</v>
      </c>
      <c r="C1068">
        <f>LOG10(1.113731)</f>
        <v>4.6780308142088618E-2</v>
      </c>
      <c r="D1068">
        <f>LOG10(3.917767)</f>
        <v>0.59303860378141771</v>
      </c>
    </row>
    <row r="1069" spans="1:4">
      <c r="A1069">
        <v>1.1240699999999999</v>
      </c>
      <c r="B1069">
        <v>3.8964819999999998</v>
      </c>
      <c r="C1069">
        <f>LOG10(1.12407)</f>
        <v>5.0793357200243493E-2</v>
      </c>
      <c r="D1069">
        <f>LOG10(3.896482)</f>
        <v>0.59067267433402848</v>
      </c>
    </row>
    <row r="1070" spans="1:4">
      <c r="A1070">
        <v>1.1592750000000001</v>
      </c>
      <c r="B1070">
        <v>3.9401989999999998</v>
      </c>
      <c r="C1070">
        <f>LOG10(1.159275)</f>
        <v>6.418647031722842E-2</v>
      </c>
      <c r="D1070">
        <f>LOG10(3.940199)</f>
        <v>0.59551815644979289</v>
      </c>
    </row>
    <row r="1071" spans="1:4">
      <c r="A1071">
        <v>1.112142</v>
      </c>
      <c r="B1071">
        <v>4.0049460000000003</v>
      </c>
      <c r="C1071">
        <f>LOG10(1.112142)</f>
        <v>4.6160242173389564E-2</v>
      </c>
      <c r="D1071">
        <f>LOG10(4.004946)</f>
        <v>0.60259666472484408</v>
      </c>
    </row>
    <row r="1072" spans="1:4">
      <c r="A1072">
        <v>1.1526099999999999</v>
      </c>
      <c r="B1072">
        <v>2.9915940000000001</v>
      </c>
      <c r="C1072">
        <f>LOG10(1.15261)</f>
        <v>6.1682383183893012E-2</v>
      </c>
      <c r="D1072">
        <f>LOG10(2.991594)</f>
        <v>0.47590265352268302</v>
      </c>
    </row>
    <row r="1073" spans="1:4">
      <c r="A1073">
        <v>1.110317</v>
      </c>
      <c r="B1073">
        <v>3.8686020000000001</v>
      </c>
      <c r="C1073">
        <f>LOG10(1.110317)</f>
        <v>4.5446989323620179E-2</v>
      </c>
      <c r="D1073">
        <f>LOG10(3.868602)</f>
        <v>0.58755405200224364</v>
      </c>
    </row>
    <row r="1074" spans="1:4">
      <c r="A1074">
        <v>1.12235</v>
      </c>
      <c r="B1074">
        <v>4.1103680000000002</v>
      </c>
      <c r="C1074">
        <f>LOG10(1.12235)</f>
        <v>5.0128310900046213E-2</v>
      </c>
      <c r="D1074">
        <f>LOG10(4.110368)</f>
        <v>0.61388070586993593</v>
      </c>
    </row>
    <row r="1075" spans="1:4">
      <c r="A1075">
        <v>1.1525749999999999</v>
      </c>
      <c r="B1075">
        <v>3.5795819999999998</v>
      </c>
      <c r="C1075">
        <f>LOG10(1.152575)</f>
        <v>6.1669195255923855E-2</v>
      </c>
      <c r="D1075">
        <f>LOG10(3.579582)</f>
        <v>0.55383231555665113</v>
      </c>
    </row>
    <row r="1076" spans="1:4">
      <c r="A1076">
        <v>1.116679</v>
      </c>
      <c r="B1076">
        <v>3.5972520000000001</v>
      </c>
      <c r="C1076">
        <f>LOG10(1.116679)</f>
        <v>4.7928348976016347E-2</v>
      </c>
      <c r="D1076">
        <f>LOG10(3.597252)</f>
        <v>0.555970862721471</v>
      </c>
    </row>
    <row r="1077" spans="1:4">
      <c r="A1077">
        <v>1.1373489999999999</v>
      </c>
      <c r="B1077">
        <v>3.697085</v>
      </c>
      <c r="C1077">
        <f>LOG10(1.137349)</f>
        <v>5.5893750102922926E-2</v>
      </c>
      <c r="D1077">
        <f>LOG10(3.697085)</f>
        <v>0.56785943558976903</v>
      </c>
    </row>
    <row r="1078" spans="1:4">
      <c r="A1078">
        <v>1.112751</v>
      </c>
      <c r="B1078">
        <v>3.8410669999999998</v>
      </c>
      <c r="C1078">
        <f>LOG10(1.112751)</f>
        <v>4.6397993243741692E-2</v>
      </c>
      <c r="D1078">
        <f>LOG10(3.841067)</f>
        <v>0.58445188266023185</v>
      </c>
    </row>
    <row r="1079" spans="1:4">
      <c r="A1079">
        <v>1.098562</v>
      </c>
      <c r="B1079">
        <v>4.0890550000000001</v>
      </c>
      <c r="C1079">
        <f>LOG10(1.098562)</f>
        <v>4.0824572406314749E-2</v>
      </c>
      <c r="D1079">
        <f>LOG10(4.089055)</f>
        <v>0.61162295208915207</v>
      </c>
    </row>
    <row r="1080" spans="1:4">
      <c r="A1080">
        <v>1.0676099999999999</v>
      </c>
      <c r="B1080">
        <v>3.9128759999999998</v>
      </c>
      <c r="C1080">
        <f>LOG10(1.06761)</f>
        <v>2.8412633047728748E-2</v>
      </c>
      <c r="D1080">
        <f>LOG10(3.912876)</f>
        <v>0.59249608522011621</v>
      </c>
    </row>
    <row r="1081" spans="1:4">
      <c r="A1081">
        <v>1.0529170000000001</v>
      </c>
      <c r="B1081">
        <v>3.9349270000000001</v>
      </c>
      <c r="C1081">
        <f>LOG10(1.052917)</f>
        <v>2.2394137697636249E-2</v>
      </c>
      <c r="D1081">
        <f>LOG10(3.934927)</f>
        <v>0.59493667982309972</v>
      </c>
    </row>
    <row r="1082" spans="1:4">
      <c r="A1082">
        <v>1.0469729999999999</v>
      </c>
      <c r="B1082">
        <v>3.7431260000000002</v>
      </c>
      <c r="C1082">
        <f>LOG10(1.046973)</f>
        <v>1.9935481963266184E-2</v>
      </c>
      <c r="D1082">
        <f>LOG10(3.743126)</f>
        <v>0.57323444645284205</v>
      </c>
    </row>
    <row r="1083" spans="1:4">
      <c r="A1083">
        <v>1.0521879999999999</v>
      </c>
      <c r="B1083">
        <v>3.686566</v>
      </c>
      <c r="C1083">
        <f>LOG10(1.052188)</f>
        <v>2.2093344445077722E-2</v>
      </c>
      <c r="D1083">
        <f>LOG10(3.686566)</f>
        <v>0.56662201341319174</v>
      </c>
    </row>
    <row r="1084" spans="1:4">
      <c r="A1084">
        <v>1.0957509999999999</v>
      </c>
      <c r="B1084">
        <v>3.7207750000000002</v>
      </c>
      <c r="C1084">
        <f>LOG10(1.095751)</f>
        <v>3.9711875670312306E-2</v>
      </c>
      <c r="D1084">
        <f>LOG10(3.720775)</f>
        <v>0.57063340847547606</v>
      </c>
    </row>
    <row r="1085" spans="1:4">
      <c r="A1085">
        <v>1.1101030000000001</v>
      </c>
      <c r="B1085">
        <v>3.8144399999999998</v>
      </c>
      <c r="C1085">
        <f>LOG10(1.110103)</f>
        <v>4.5363276314896582E-2</v>
      </c>
      <c r="D1085">
        <f>LOG10(3.81444)</f>
        <v>0.58143078796284831</v>
      </c>
    </row>
    <row r="1086" spans="1:4">
      <c r="A1086">
        <v>1.1002190000000001</v>
      </c>
      <c r="B1086">
        <v>3.9334349999999998</v>
      </c>
      <c r="C1086">
        <f>LOG10(1.100219)</f>
        <v>4.1479140635476107E-2</v>
      </c>
      <c r="D1086">
        <f>LOG10(3.933435)</f>
        <v>0.59477197784961</v>
      </c>
    </row>
    <row r="1087" spans="1:4">
      <c r="A1087">
        <v>1.1158170000000001</v>
      </c>
      <c r="B1087">
        <v>3.5890559999999998</v>
      </c>
      <c r="C1087">
        <f>LOG10(1.115817)</f>
        <v>4.7592973806695145E-2</v>
      </c>
      <c r="D1087">
        <f>LOG10(3.589056)</f>
        <v>0.55498023467797353</v>
      </c>
    </row>
    <row r="1088" spans="1:4">
      <c r="A1088">
        <v>1.101383</v>
      </c>
      <c r="B1088">
        <v>3.6634929999999999</v>
      </c>
      <c r="C1088">
        <f>LOG10(1.101383)</f>
        <v>4.1938368801182638E-2</v>
      </c>
      <c r="D1088">
        <f>LOG10(3.663493)</f>
        <v>0.56389536604991786</v>
      </c>
    </row>
    <row r="1089" spans="1:4">
      <c r="A1089">
        <v>1.052503</v>
      </c>
      <c r="B1089">
        <v>3.5043700000000002</v>
      </c>
      <c r="C1089">
        <f>LOG10(1.052503)</f>
        <v>2.2223342399951863E-2</v>
      </c>
      <c r="D1089">
        <f>LOG10(3.50437)</f>
        <v>0.54460995379599686</v>
      </c>
    </row>
    <row r="1090" spans="1:4">
      <c r="A1090">
        <v>1.0327740000000001</v>
      </c>
      <c r="B1090">
        <v>3.6928350000000001</v>
      </c>
      <c r="C1090">
        <f>LOG10(1.032774)</f>
        <v>1.4005296068335315E-2</v>
      </c>
      <c r="D1090">
        <f>LOG10(3.692835)</f>
        <v>0.56735990332106179</v>
      </c>
    </row>
    <row r="1091" spans="1:4">
      <c r="A1091">
        <v>1.07203</v>
      </c>
      <c r="B1091">
        <v>3.6395930000000001</v>
      </c>
      <c r="C1091">
        <f>LOG10(1.07203)</f>
        <v>3.0206938950178511E-2</v>
      </c>
      <c r="D1091">
        <f>LOG10(3.639593)</f>
        <v>0.56105282108400079</v>
      </c>
    </row>
    <row r="1092" spans="1:4">
      <c r="A1092">
        <v>1.053906</v>
      </c>
      <c r="B1092">
        <v>3.770038</v>
      </c>
      <c r="C1092">
        <f>LOG10(1.053906)</f>
        <v>2.2801877003835222E-2</v>
      </c>
      <c r="D1092">
        <f>LOG10(3.770038)</f>
        <v>0.57634572768779291</v>
      </c>
    </row>
    <row r="1093" spans="1:4">
      <c r="A1093">
        <v>1.061183</v>
      </c>
      <c r="B1093">
        <v>3.647265</v>
      </c>
      <c r="C1093">
        <f>LOG10(1.061183)</f>
        <v>2.5790284030486253E-2</v>
      </c>
      <c r="D1093">
        <f>LOG10(3.647265)</f>
        <v>0.56196731907375297</v>
      </c>
    </row>
    <row r="1094" spans="1:4">
      <c r="A1094">
        <v>1.081823</v>
      </c>
      <c r="B1094">
        <v>3.5835669999999999</v>
      </c>
      <c r="C1094">
        <f>LOG10(1.081823)</f>
        <v>3.4156210482732881E-2</v>
      </c>
      <c r="D1094">
        <f>LOG10(3.583567)</f>
        <v>0.55431552864880551</v>
      </c>
    </row>
    <row r="1095" spans="1:4">
      <c r="A1095">
        <v>1.09484</v>
      </c>
      <c r="B1095">
        <v>3.5494970000000001</v>
      </c>
      <c r="C1095">
        <f>LOG10(1.09484)</f>
        <v>3.935065598501071E-2</v>
      </c>
      <c r="D1095">
        <f>LOG10(3.549497)</f>
        <v>0.55016681344890428</v>
      </c>
    </row>
    <row r="1096" spans="1:4">
      <c r="A1096">
        <v>1.07507</v>
      </c>
      <c r="B1096">
        <v>3.2938369999999999</v>
      </c>
      <c r="C1096">
        <f>LOG10(1.07507)</f>
        <v>3.1436742971613675E-2</v>
      </c>
      <c r="D1096">
        <f>LOG10(3.293837)</f>
        <v>0.51770210371288217</v>
      </c>
    </row>
    <row r="1097" spans="1:4">
      <c r="A1097">
        <v>1.0138560000000001</v>
      </c>
      <c r="B1097">
        <v>8.3554820000000003</v>
      </c>
      <c r="C1097">
        <f>LOG10(1.013856)</f>
        <v>5.9762756616058123E-3</v>
      </c>
      <c r="D1097">
        <f>LOG10(8.355482)</f>
        <v>0.9219715079580022</v>
      </c>
    </row>
    <row r="1098" spans="1:4">
      <c r="A1098">
        <v>1.010294</v>
      </c>
      <c r="B1098">
        <v>9.5155410000000007</v>
      </c>
      <c r="C1098">
        <f>LOG10(1.010294)</f>
        <v>4.4477737804457457E-3</v>
      </c>
      <c r="D1098">
        <f>LOG10(9.515541)</f>
        <v>0.97843348486008841</v>
      </c>
    </row>
    <row r="1099" spans="1:4">
      <c r="A1099">
        <v>1.010759</v>
      </c>
      <c r="B1099">
        <v>7.444712</v>
      </c>
      <c r="C1099">
        <f>LOG10(1.010759)</f>
        <v>4.647617067730544E-3</v>
      </c>
      <c r="D1099">
        <f>LOG10(7.444712)</f>
        <v>0.87184790165433779</v>
      </c>
    </row>
    <row r="1100" spans="1:4">
      <c r="A1100">
        <v>1.010246</v>
      </c>
      <c r="B1100">
        <v>7.9021520000000001</v>
      </c>
      <c r="C1100">
        <f>LOG10(1.010246)</f>
        <v>4.4271395587670874E-3</v>
      </c>
      <c r="D1100">
        <f>LOG10(7.902152)</f>
        <v>0.89774537919589048</v>
      </c>
    </row>
    <row r="1101" spans="1:4">
      <c r="A1101">
        <v>1.009644</v>
      </c>
      <c r="B1101">
        <v>7.3659759999999999</v>
      </c>
      <c r="C1101">
        <f>LOG10(1.009644)</f>
        <v>4.1682687431813335E-3</v>
      </c>
      <c r="D1101">
        <f>LOG10(7.365976)</f>
        <v>0.86723029949248276</v>
      </c>
    </row>
    <row r="1102" spans="1:4">
      <c r="A1102">
        <v>1.010664</v>
      </c>
      <c r="B1102">
        <v>8.5498279999999998</v>
      </c>
      <c r="C1102">
        <f>LOG10(1.010664)</f>
        <v>4.6067963431111391E-3</v>
      </c>
      <c r="D1102">
        <f>LOG10(8.549828)</f>
        <v>0.93195737795597933</v>
      </c>
    </row>
    <row r="1103" spans="1:4">
      <c r="A1103">
        <v>1.010068</v>
      </c>
      <c r="B1103">
        <v>8.7541910000000005</v>
      </c>
      <c r="C1103">
        <f>LOG10(1.010068)</f>
        <v>4.3506124268669873E-3</v>
      </c>
      <c r="D1103">
        <f>LOG10(8.754191)</f>
        <v>0.9422160178700959</v>
      </c>
    </row>
    <row r="1104" spans="1:4">
      <c r="A1104">
        <v>1.019171</v>
      </c>
      <c r="B1104">
        <v>8.6614109999999993</v>
      </c>
      <c r="C1104">
        <f>LOG10(1.019171)</f>
        <v>8.2470575352713502E-3</v>
      </c>
      <c r="D1104">
        <f>LOG10(8.661411)</f>
        <v>0.9375886471671806</v>
      </c>
    </row>
    <row r="1105" spans="1:4">
      <c r="A1105">
        <v>1.0106930000000001</v>
      </c>
      <c r="B1105">
        <v>8.4717260000000003</v>
      </c>
      <c r="C1105">
        <f>LOG10(1.010693)</f>
        <v>4.6192578132780455E-3</v>
      </c>
      <c r="D1105">
        <f>LOG10(8.471726)</f>
        <v>0.92797190099315285</v>
      </c>
    </row>
    <row r="1106" spans="1:4">
      <c r="A1106">
        <v>1.0079670000000001</v>
      </c>
      <c r="B1106">
        <v>7.641921</v>
      </c>
      <c r="C1106">
        <f>LOG10(1.007967)</f>
        <v>3.4463139026568081E-3</v>
      </c>
      <c r="D1106">
        <f>LOG10(7.641921)</f>
        <v>0.88320254376309282</v>
      </c>
    </row>
    <row r="1107" spans="1:4">
      <c r="A1107">
        <v>1.0085249999999999</v>
      </c>
      <c r="B1107">
        <v>7.321529</v>
      </c>
      <c r="C1107">
        <f>LOG10(1.008525)</f>
        <v>3.6866682676504831E-3</v>
      </c>
      <c r="D1107">
        <f>LOG10(7.321529)</f>
        <v>0.8646017869218634</v>
      </c>
    </row>
    <row r="1108" spans="1:4">
      <c r="A1108">
        <v>1.01006</v>
      </c>
      <c r="B1108">
        <v>7.4091139999999998</v>
      </c>
      <c r="C1108">
        <f>LOG10(1.01006)</f>
        <v>4.3471726885382801E-3</v>
      </c>
      <c r="D1108">
        <f>LOG10(7.409114)</f>
        <v>0.86976627708637133</v>
      </c>
    </row>
    <row r="1109" spans="1:4">
      <c r="A1109">
        <v>1.009125</v>
      </c>
      <c r="B1109">
        <v>7.9091459999999998</v>
      </c>
      <c r="C1109">
        <f>LOG10(1.009125)</f>
        <v>3.9449654914733958E-3</v>
      </c>
      <c r="D1109">
        <f>LOG10(7.909146)</f>
        <v>0.89812959253555946</v>
      </c>
    </row>
    <row r="1110" spans="1:4">
      <c r="A1110">
        <v>1.007903</v>
      </c>
      <c r="B1110">
        <v>8.5582320000000003</v>
      </c>
      <c r="C1110">
        <f>LOG10(1.007903)</f>
        <v>3.4187378716119743E-3</v>
      </c>
      <c r="D1110">
        <f>LOG10(8.558232)</f>
        <v>0.93238405533722435</v>
      </c>
    </row>
    <row r="1111" spans="1:4">
      <c r="A1111">
        <v>1.0104139999999999</v>
      </c>
      <c r="B1111">
        <v>7.3505539999999998</v>
      </c>
      <c r="C1111">
        <f>LOG10(1.010414)</f>
        <v>4.4993550459127103E-3</v>
      </c>
      <c r="D1111">
        <f>LOG10(7.350554)</f>
        <v>0.8663200724278618</v>
      </c>
    </row>
    <row r="1112" spans="1:4">
      <c r="A1112">
        <v>1.0057419999999999</v>
      </c>
      <c r="B1112">
        <v>7.6451219999999998</v>
      </c>
      <c r="C1112">
        <f>LOG10(1.005742)</f>
        <v>2.4865867370366611E-3</v>
      </c>
      <c r="D1112">
        <f>LOG10(7.645122)</f>
        <v>0.88338442022630281</v>
      </c>
    </row>
    <row r="1113" spans="1:4">
      <c r="A1113">
        <v>1.0087489999999999</v>
      </c>
      <c r="B1113">
        <v>6.971794</v>
      </c>
      <c r="C1113">
        <f>LOG10(1.008749)</f>
        <v>3.7831172025459521E-3</v>
      </c>
      <c r="D1113">
        <f>LOG10(6.971794)</f>
        <v>0.84334454625422151</v>
      </c>
    </row>
    <row r="1114" spans="1:4">
      <c r="A1114">
        <v>1.0078469999999999</v>
      </c>
      <c r="B1114">
        <v>7.1350740000000004</v>
      </c>
      <c r="C1114">
        <f>LOG10(1.007847)</f>
        <v>3.3946074080198987E-3</v>
      </c>
      <c r="D1114">
        <f>LOG10(7.135074)</f>
        <v>0.85339848167281085</v>
      </c>
    </row>
    <row r="1115" spans="1:4">
      <c r="A1115">
        <v>1.0078020000000001</v>
      </c>
      <c r="B1115">
        <v>6.8670770000000001</v>
      </c>
      <c r="C1115">
        <f>LOG10(1.007802)</f>
        <v>3.3752158853005876E-3</v>
      </c>
      <c r="D1115">
        <f>LOG10(6.867077)</f>
        <v>0.83677191713173582</v>
      </c>
    </row>
    <row r="1116" spans="1:4">
      <c r="A1116">
        <v>1.0081119999999999</v>
      </c>
      <c r="B1116">
        <v>7.9062130000000002</v>
      </c>
      <c r="C1116">
        <f>LOG10(1.008112)</f>
        <v>3.5087843713085647E-3</v>
      </c>
      <c r="D1116">
        <f>LOG10(7.906213)</f>
        <v>0.89796851042164405</v>
      </c>
    </row>
    <row r="1117" spans="1:4">
      <c r="A1117">
        <v>1.0072430000000001</v>
      </c>
      <c r="B1117">
        <v>7.1579379999999997</v>
      </c>
      <c r="C1117">
        <f>LOG10(1.007243)</f>
        <v>3.1342578703563791E-3</v>
      </c>
      <c r="D1117">
        <f>LOG10(7.157938)</f>
        <v>0.85478793233639794</v>
      </c>
    </row>
    <row r="1118" spans="1:4">
      <c r="A1118">
        <v>1.0064470000000001</v>
      </c>
      <c r="B1118">
        <v>7.0667749999999998</v>
      </c>
      <c r="C1118">
        <f>LOG10(1.006447)</f>
        <v>2.7909096632331479E-3</v>
      </c>
      <c r="D1118">
        <f>LOG10(7.066775)</f>
        <v>0.84922126397440667</v>
      </c>
    </row>
    <row r="1119" spans="1:4">
      <c r="A1119">
        <v>1.0114989999999999</v>
      </c>
      <c r="B1119">
        <v>6.6203500000000002</v>
      </c>
      <c r="C1119">
        <f>LOG10(1.011499)</f>
        <v>4.9654577497334146E-3</v>
      </c>
      <c r="D1119">
        <f>LOG10(6.62035)</f>
        <v>0.82088095002136152</v>
      </c>
    </row>
    <row r="1120" spans="1:4">
      <c r="A1120">
        <v>1.013034</v>
      </c>
      <c r="B1120">
        <v>6.9948170000000003</v>
      </c>
      <c r="C1120">
        <f>LOG10(1.013034)</f>
        <v>5.6240216333203604E-3</v>
      </c>
      <c r="D1120">
        <f>LOG10(6.994817)</f>
        <v>0.84477635686504271</v>
      </c>
    </row>
    <row r="1121" spans="1:4">
      <c r="A1121">
        <v>1.0164040000000001</v>
      </c>
      <c r="B1121">
        <v>7.0015169999999998</v>
      </c>
      <c r="C1121">
        <f>LOG10(1.016404)</f>
        <v>7.066365522870665E-3</v>
      </c>
      <c r="D1121">
        <f>LOG10(7.001517)</f>
        <v>0.8451921476358274</v>
      </c>
    </row>
    <row r="1122" spans="1:4">
      <c r="A1122">
        <v>1.010397</v>
      </c>
      <c r="B1122">
        <v>7.3014659999999996</v>
      </c>
      <c r="C1122">
        <f>LOG10(1.010397)</f>
        <v>4.4920480724327553E-3</v>
      </c>
      <c r="D1122">
        <f>LOG10(7.301466)</f>
        <v>0.86341006721495028</v>
      </c>
    </row>
    <row r="1123" spans="1:4">
      <c r="A1123">
        <v>1.0081530000000001</v>
      </c>
      <c r="B1123">
        <v>7.5183619999999998</v>
      </c>
      <c r="C1123">
        <f>LOG10(1.008153)</f>
        <v>3.5264468053244958E-3</v>
      </c>
      <c r="D1123">
        <f>LOG10(7.518362)</f>
        <v>0.87612323263311975</v>
      </c>
    </row>
    <row r="1124" spans="1:4">
      <c r="A1124">
        <v>1.009789</v>
      </c>
      <c r="B1124">
        <v>7.8632020000000002</v>
      </c>
      <c r="C1124">
        <f>LOG10(1.009789)</f>
        <v>4.2306354569908219E-3</v>
      </c>
      <c r="D1124">
        <f>LOG10(7.863202)</f>
        <v>0.89559943252223484</v>
      </c>
    </row>
    <row r="1125" spans="1:4">
      <c r="A1125">
        <v>1.007997</v>
      </c>
      <c r="B1125">
        <v>6.9015560000000002</v>
      </c>
      <c r="C1125">
        <f>LOG10(1.007997)</f>
        <v>3.4592395644821661E-3</v>
      </c>
      <c r="D1125">
        <f>LOG10(6.901556)</f>
        <v>0.83894701624894463</v>
      </c>
    </row>
    <row r="1126" spans="1:4">
      <c r="A1126">
        <v>1.0085409999999999</v>
      </c>
      <c r="B1126">
        <v>7.5911390000000001</v>
      </c>
      <c r="C1126">
        <f>LOG10(1.008541)</f>
        <v>3.6935581876735312E-3</v>
      </c>
      <c r="D1126">
        <f>LOG10(7.591139)</f>
        <v>0.88030694378779939</v>
      </c>
    </row>
    <row r="1127" spans="1:4">
      <c r="A1127">
        <v>1.0081059999999999</v>
      </c>
      <c r="B1127">
        <v>7.9210289999999999</v>
      </c>
      <c r="C1127">
        <f>LOG10(1.008106)</f>
        <v>3.50619956461464E-3</v>
      </c>
      <c r="D1127">
        <f>LOG10(7.921029)</f>
        <v>0.89878160330584878</v>
      </c>
    </row>
    <row r="1128" spans="1:4">
      <c r="A1128">
        <v>1.008605</v>
      </c>
      <c r="B1128">
        <v>7.8053900000000001</v>
      </c>
      <c r="C1128">
        <f>LOG10(1.008605)</f>
        <v>3.7211167747576218E-3</v>
      </c>
      <c r="D1128">
        <f>LOG10(7.80539)</f>
        <v>0.89239460766959899</v>
      </c>
    </row>
    <row r="1129" spans="1:4">
      <c r="A1129">
        <v>1.0100469999999999</v>
      </c>
      <c r="B1129">
        <v>7.9420489999999999</v>
      </c>
      <c r="C1129">
        <f>LOG10(1.010047)</f>
        <v>4.3415830556477073E-3</v>
      </c>
      <c r="D1129">
        <f>LOG10(7.942049)</f>
        <v>0.89993256219952955</v>
      </c>
    </row>
    <row r="1130" spans="1:4">
      <c r="A1130">
        <v>1.0113559999999999</v>
      </c>
      <c r="B1130">
        <v>7.6857699999999998</v>
      </c>
      <c r="C1130">
        <f>LOG10(1.011356)</f>
        <v>4.9040553150402509E-3</v>
      </c>
      <c r="D1130">
        <f>LOG10(7.68577)</f>
        <v>0.88568738387209589</v>
      </c>
    </row>
    <row r="1131" spans="1:4">
      <c r="A1131">
        <v>1.0130220000000001</v>
      </c>
      <c r="B1131">
        <v>8.0241980000000002</v>
      </c>
      <c r="C1131">
        <f>LOG10(1.013022)</f>
        <v>5.6188771222280146E-3</v>
      </c>
      <c r="D1131">
        <f>LOG10(8.024198)</f>
        <v>0.90440163651865368</v>
      </c>
    </row>
    <row r="1132" spans="1:4">
      <c r="A1132">
        <v>1.009023</v>
      </c>
      <c r="B1132">
        <v>7.6823829999999997</v>
      </c>
      <c r="C1132">
        <f>LOG10(1.009023)</f>
        <v>3.9010658000812179E-3</v>
      </c>
      <c r="D1132">
        <f>LOG10(7.682383)</f>
        <v>0.88549595482606513</v>
      </c>
    </row>
    <row r="1133" spans="1:4">
      <c r="A1133">
        <v>1.0081310000000001</v>
      </c>
      <c r="B1133">
        <v>7.9707109999999997</v>
      </c>
      <c r="C1133">
        <f>LOG10(1.008131)</f>
        <v>3.5169694910153647E-3</v>
      </c>
      <c r="D1133">
        <f>LOG10(7.970711)</f>
        <v>0.90149706287719655</v>
      </c>
    </row>
    <row r="1134" spans="1:4">
      <c r="A1134">
        <v>1.009552</v>
      </c>
      <c r="B1134">
        <v>8.1891540000000003</v>
      </c>
      <c r="C1134">
        <f>LOG10(1.009552)</f>
        <v>4.128693494059664E-3</v>
      </c>
      <c r="D1134">
        <f>LOG10(8.189154)</f>
        <v>0.91323903825501196</v>
      </c>
    </row>
    <row r="1135" spans="1:4">
      <c r="A1135">
        <v>1.0072220000000001</v>
      </c>
      <c r="B1135">
        <v>8.4217689999999994</v>
      </c>
      <c r="C1135">
        <f>LOG10(1.007222)</f>
        <v>3.1252031743251056E-3</v>
      </c>
      <c r="D1135">
        <f>LOG10(8.421769)</f>
        <v>0.92540332502046452</v>
      </c>
    </row>
    <row r="1136" spans="1:4">
      <c r="A1136">
        <v>1.0087219999999999</v>
      </c>
      <c r="B1136">
        <v>8.9348299999999998</v>
      </c>
      <c r="C1136">
        <f>LOG10(1.008722)</f>
        <v>3.7714927965325942E-3</v>
      </c>
      <c r="D1136">
        <f>LOG10(8.93483)</f>
        <v>0.95108629374549192</v>
      </c>
    </row>
    <row r="1137" spans="1:4">
      <c r="A1137">
        <v>1.0088459999999999</v>
      </c>
      <c r="B1137">
        <v>8.5132259999999995</v>
      </c>
      <c r="C1137">
        <f>LOG10(1.008846)</f>
        <v>3.8248763908638045E-3</v>
      </c>
      <c r="D1137">
        <f>LOG10(8.513226)</f>
        <v>0.93009416272986689</v>
      </c>
    </row>
    <row r="1138" spans="1:4">
      <c r="A1138">
        <v>1.008162</v>
      </c>
      <c r="B1138">
        <v>8.9961649999999995</v>
      </c>
      <c r="C1138">
        <f>LOG10(1.008162)</f>
        <v>3.5303238288422727E-3</v>
      </c>
      <c r="D1138">
        <f>LOG10(8.996165)</f>
        <v>0.95405741229631569</v>
      </c>
    </row>
    <row r="1139" spans="1:4">
      <c r="A1139">
        <v>1.0655680000000001</v>
      </c>
      <c r="B1139">
        <v>8.6308849999999993</v>
      </c>
      <c r="C1139">
        <f>LOG10(1.065568)</f>
        <v>2.7581169754064556E-2</v>
      </c>
      <c r="D1139">
        <f>LOG10(8.630885)</f>
        <v>0.93605533000378416</v>
      </c>
    </row>
    <row r="1140" spans="1:4">
      <c r="A1140">
        <v>1.0085569999999999</v>
      </c>
      <c r="B1140">
        <v>9.4030439999999995</v>
      </c>
      <c r="C1140">
        <f>LOG10(1.008557)</f>
        <v>3.7004479983923011E-3</v>
      </c>
      <c r="D1140">
        <f>LOG10(9.403044)</f>
        <v>0.97326846832298097</v>
      </c>
    </row>
    <row r="1141" spans="1:4">
      <c r="A1141">
        <v>1.0067710000000001</v>
      </c>
      <c r="B1141">
        <v>9.0391809999999992</v>
      </c>
      <c r="C1141">
        <f>LOG10(1.006771)</f>
        <v>2.930697220617875E-3</v>
      </c>
      <c r="D1141">
        <f>LOG10(9.039181)</f>
        <v>0.95612908276587116</v>
      </c>
    </row>
    <row r="1142" spans="1:4">
      <c r="A1142">
        <v>1.008848</v>
      </c>
      <c r="B1142">
        <v>8.8084070000000008</v>
      </c>
      <c r="C1142">
        <f>LOG10(1.008848)</f>
        <v>3.8257373628088382E-3</v>
      </c>
      <c r="D1142">
        <f>LOG10(8.808407)</f>
        <v>0.94489737337632573</v>
      </c>
    </row>
    <row r="1143" spans="1:4">
      <c r="A1143">
        <v>1.009614</v>
      </c>
      <c r="B1143">
        <v>9.6668040000000008</v>
      </c>
      <c r="C1143">
        <f>LOG10(1.009614)</f>
        <v>4.1553641668884127E-3</v>
      </c>
      <c r="D1143">
        <f>LOG10(9.666804)</f>
        <v>0.98528291311224336</v>
      </c>
    </row>
    <row r="1144" spans="1:4">
      <c r="A1144">
        <v>1.0105</v>
      </c>
      <c r="B1144">
        <v>8.9966019999999993</v>
      </c>
      <c r="C1144">
        <f>LOG10(1.0105)</f>
        <v>4.5363178513227759E-3</v>
      </c>
      <c r="D1144">
        <f>LOG10(8.996602)</f>
        <v>0.95407850818319395</v>
      </c>
    </row>
    <row r="1145" spans="1:4">
      <c r="A1145">
        <v>1.1344799999999999</v>
      </c>
      <c r="B1145">
        <v>3.6926100000000002</v>
      </c>
      <c r="C1145">
        <f>LOG10(1.13448)</f>
        <v>5.479684401451989E-2</v>
      </c>
      <c r="D1145">
        <f>LOG10(3.69261)</f>
        <v>0.56733344147388587</v>
      </c>
    </row>
    <row r="1146" spans="1:4">
      <c r="A1146">
        <v>1.1397679999999999</v>
      </c>
      <c r="B1146">
        <v>4.0646950000000004</v>
      </c>
      <c r="C1146">
        <f>LOG10(1.139768)</f>
        <v>5.681645960525309E-2</v>
      </c>
      <c r="D1146">
        <f>LOG10(4.064695)</f>
        <v>0.60902796326673925</v>
      </c>
    </row>
    <row r="1147" spans="1:4">
      <c r="A1147">
        <v>1.1292610000000001</v>
      </c>
      <c r="B1147">
        <v>4.0087910000000004</v>
      </c>
      <c r="C1147">
        <f>LOG10(1.129261)</f>
        <v>5.2794329666049591E-2</v>
      </c>
      <c r="D1147">
        <f>LOG10(4.008791)</f>
        <v>0.60301341471578018</v>
      </c>
    </row>
    <row r="1148" spans="1:4">
      <c r="A1148">
        <v>1.14821</v>
      </c>
      <c r="B1148">
        <v>3.5847720000000001</v>
      </c>
      <c r="C1148">
        <f>LOG10(1.14821)</f>
        <v>6.0021324909154176E-2</v>
      </c>
      <c r="D1148">
        <f>LOG10(3.584772)</f>
        <v>0.55446153872327963</v>
      </c>
    </row>
    <row r="1149" spans="1:4">
      <c r="A1149">
        <v>1.0794870000000001</v>
      </c>
      <c r="B1149">
        <v>3.6888420000000002</v>
      </c>
      <c r="C1149">
        <f>LOG10(1.079487)</f>
        <v>3.3217416598679203E-2</v>
      </c>
      <c r="D1149">
        <f>LOG10(3.688842)</f>
        <v>0.56689005398049019</v>
      </c>
    </row>
    <row r="1150" spans="1:4">
      <c r="A1150">
        <v>1.0600160000000001</v>
      </c>
      <c r="B1150">
        <v>3.8325770000000001</v>
      </c>
      <c r="C1150">
        <f>LOG10(1.060016)</f>
        <v>2.5312420603702226E-2</v>
      </c>
      <c r="D1150">
        <f>LOG10(3.832577)</f>
        <v>0.58349088898999457</v>
      </c>
    </row>
    <row r="1151" spans="1:4">
      <c r="A1151">
        <v>1.0634459999999999</v>
      </c>
      <c r="B1151">
        <v>3.8017820000000002</v>
      </c>
      <c r="C1151">
        <f>LOG10(1.063446)</f>
        <v>2.6715442054980203E-2</v>
      </c>
      <c r="D1151">
        <f>LOG10(3.801782)</f>
        <v>0.57998721013293775</v>
      </c>
    </row>
    <row r="1152" spans="1:4">
      <c r="A1152">
        <v>1.069123</v>
      </c>
      <c r="B1152">
        <v>3.9349470000000002</v>
      </c>
      <c r="C1152">
        <f>LOG10(1.069123)</f>
        <v>2.9027672606662093E-2</v>
      </c>
      <c r="D1152">
        <f>LOG10(3.934947)</f>
        <v>0.59493888720015253</v>
      </c>
    </row>
    <row r="1153" spans="1:4">
      <c r="A1153">
        <v>1.125489</v>
      </c>
      <c r="B1153">
        <v>4.0069699999999999</v>
      </c>
      <c r="C1153">
        <f>LOG10(1.125489)</f>
        <v>5.1341254767328551E-2</v>
      </c>
      <c r="D1153">
        <f>LOG10(4.00697)</f>
        <v>0.60281609090207089</v>
      </c>
    </row>
    <row r="1154" spans="1:4">
      <c r="A1154">
        <v>1.146077</v>
      </c>
      <c r="B1154">
        <v>3.9190740000000002</v>
      </c>
      <c r="C1154">
        <f>LOG10(1.146077)</f>
        <v>5.9213796995868206E-2</v>
      </c>
      <c r="D1154">
        <f>LOG10(3.919074)</f>
        <v>0.59318346390888743</v>
      </c>
    </row>
    <row r="1155" spans="1:4">
      <c r="A1155">
        <v>1.1501749999999999</v>
      </c>
      <c r="B1155">
        <v>3.9609070000000002</v>
      </c>
      <c r="C1155">
        <f>LOG10(1.150175)</f>
        <v>6.0763923616389243E-2</v>
      </c>
      <c r="D1155">
        <f>LOG10(3.960907)</f>
        <v>0.59779464551942196</v>
      </c>
    </row>
    <row r="1156" spans="1:4">
      <c r="A1156">
        <v>1.119194</v>
      </c>
      <c r="B1156">
        <v>4.0277450000000004</v>
      </c>
      <c r="C1156">
        <f>LOG10(1.119194)</f>
        <v>4.890537323691975E-2</v>
      </c>
      <c r="D1156">
        <f>LOG10(4.027745)</f>
        <v>0.60506196719476446</v>
      </c>
    </row>
    <row r="1157" spans="1:4">
      <c r="A1157">
        <v>1.1280619999999999</v>
      </c>
      <c r="B1157">
        <v>3.8879039999999998</v>
      </c>
      <c r="C1157">
        <f>LOG10(1.128062)</f>
        <v>5.233296978731497E-2</v>
      </c>
      <c r="D1157">
        <f>LOG10(3.887904)</f>
        <v>0.58971553280130729</v>
      </c>
    </row>
    <row r="1158" spans="1:4">
      <c r="A1158">
        <v>1.089574</v>
      </c>
      <c r="B1158">
        <v>3.9127610000000002</v>
      </c>
      <c r="C1158">
        <f>LOG10(1.089574)</f>
        <v>3.7256731324168658E-2</v>
      </c>
      <c r="D1158">
        <f>LOG10(3.912761)</f>
        <v>0.59248332105397294</v>
      </c>
    </row>
    <row r="1159" spans="1:4">
      <c r="A1159">
        <v>1.1012690000000001</v>
      </c>
      <c r="B1159">
        <v>3.8197000000000001</v>
      </c>
      <c r="C1159">
        <f>LOG10(1.101269)</f>
        <v>4.1893414290909425E-2</v>
      </c>
      <c r="D1159">
        <f>LOG10(3.8197)</f>
        <v>0.58202925467587807</v>
      </c>
    </row>
    <row r="1160" spans="1:4">
      <c r="A1160">
        <v>1.1066130000000001</v>
      </c>
      <c r="B1160">
        <v>3.9037570000000001</v>
      </c>
      <c r="C1160">
        <f>LOG10(1.106613)</f>
        <v>4.399576780755917E-2</v>
      </c>
      <c r="D1160">
        <f>LOG10(3.903757)</f>
        <v>0.59148277599167098</v>
      </c>
    </row>
    <row r="1161" spans="1:4">
      <c r="A1161">
        <v>1.0945739999999999</v>
      </c>
      <c r="B1161">
        <v>3.6272869999999999</v>
      </c>
      <c r="C1161">
        <f>LOG10(1.094574)</f>
        <v>3.9245127900550937E-2</v>
      </c>
      <c r="D1161">
        <f>LOG10(3.627287)</f>
        <v>0.55958191940319768</v>
      </c>
    </row>
    <row r="1162" spans="1:4">
      <c r="A1162">
        <v>1.076092</v>
      </c>
      <c r="B1162">
        <v>3.6343109999999998</v>
      </c>
      <c r="C1162">
        <f>LOG10(1.076092)</f>
        <v>3.1849402728432778E-2</v>
      </c>
      <c r="D1162">
        <f>LOG10(3.634311)</f>
        <v>0.56042208857595133</v>
      </c>
    </row>
    <row r="1163" spans="1:4">
      <c r="A1163">
        <v>1.104382</v>
      </c>
      <c r="B1163">
        <v>3.4504220000000001</v>
      </c>
      <c r="C1163">
        <f>LOG10(1.104382)</f>
        <v>4.3119319585860238E-2</v>
      </c>
      <c r="D1163">
        <f>LOG10(3.450422)</f>
        <v>0.53787221422210063</v>
      </c>
    </row>
    <row r="1164" spans="1:4">
      <c r="A1164">
        <v>1.104579</v>
      </c>
      <c r="B1164">
        <v>3.6729980000000002</v>
      </c>
      <c r="C1164">
        <f>LOG10(1.104579)</f>
        <v>4.3196782260087406E-2</v>
      </c>
      <c r="D1164">
        <f>LOG10(3.672998)</f>
        <v>0.56502069186579462</v>
      </c>
    </row>
    <row r="1165" spans="1:4">
      <c r="A1165">
        <v>1.094293</v>
      </c>
      <c r="B1165">
        <v>3.6452879999999999</v>
      </c>
      <c r="C1165">
        <f>LOG10(1.094293)</f>
        <v>3.9133621125506841E-2</v>
      </c>
      <c r="D1165">
        <f>LOG10(3.645288)</f>
        <v>0.56173184592415593</v>
      </c>
    </row>
    <row r="1166" spans="1:4">
      <c r="A1166">
        <v>1.0998159999999999</v>
      </c>
      <c r="B1166">
        <v>3.7220110000000002</v>
      </c>
      <c r="C1166">
        <f>LOG10(1.099816)</f>
        <v>4.1320033459304226E-2</v>
      </c>
      <c r="D1166">
        <f>LOG10(3.722011)</f>
        <v>0.57077765230690347</v>
      </c>
    </row>
    <row r="1167" spans="1:4">
      <c r="A1167">
        <v>1.1026039999999999</v>
      </c>
      <c r="B1167">
        <v>3.6525889999999999</v>
      </c>
      <c r="C1167">
        <f>LOG10(1.102604)</f>
        <v>4.241956366907694E-2</v>
      </c>
      <c r="D1167">
        <f>LOG10(3.652589)</f>
        <v>0.56260080687545966</v>
      </c>
    </row>
    <row r="1168" spans="1:4">
      <c r="A1168">
        <v>1.1106229999999999</v>
      </c>
      <c r="B1168">
        <v>3.5076550000000002</v>
      </c>
      <c r="C1168">
        <f>LOG10(1.110623)</f>
        <v>4.5566663076448514E-2</v>
      </c>
      <c r="D1168">
        <f>LOG10(3.507655)</f>
        <v>0.54501687119216247</v>
      </c>
    </row>
    <row r="1169" spans="1:4">
      <c r="A1169">
        <v>1.0674760000000001</v>
      </c>
      <c r="B1169">
        <v>3.5381420000000001</v>
      </c>
      <c r="C1169">
        <f>LOG10(1.067476)</f>
        <v>2.8358119589581038E-2</v>
      </c>
      <c r="D1169">
        <f>LOG10(3.538142)</f>
        <v>0.54877525892386936</v>
      </c>
    </row>
    <row r="1170" spans="1:4">
      <c r="A1170">
        <v>1.096109</v>
      </c>
      <c r="B1170">
        <v>3.5923569999999998</v>
      </c>
      <c r="C1170">
        <f>LOG10(1.096109)</f>
        <v>3.9853743696467228E-2</v>
      </c>
      <c r="D1170">
        <f>LOG10(3.592357)</f>
        <v>0.55537948930536507</v>
      </c>
    </row>
    <row r="1171" spans="1:4">
      <c r="A1171">
        <v>1.1041049999999999</v>
      </c>
      <c r="B1171">
        <v>3.7139530000000001</v>
      </c>
      <c r="C1171">
        <f>LOG10(1.104105)</f>
        <v>4.3010376610766364E-2</v>
      </c>
      <c r="D1171">
        <f>LOG10(3.713953)</f>
        <v>0.569836403450664</v>
      </c>
    </row>
    <row r="1172" spans="1:4">
      <c r="A1172">
        <v>1.0852919999999999</v>
      </c>
      <c r="B1172">
        <v>3.68404</v>
      </c>
      <c r="C1172">
        <f>LOG10(1.085292)</f>
        <v>3.5546601712111353E-2</v>
      </c>
      <c r="D1172">
        <f>LOG10(3.68404)</f>
        <v>0.56632433696589912</v>
      </c>
    </row>
    <row r="1173" spans="1:4">
      <c r="A1173">
        <v>1.087636</v>
      </c>
      <c r="B1173">
        <v>3.610233</v>
      </c>
      <c r="C1173">
        <f>LOG10(1.087636)</f>
        <v>3.6483574000602668E-2</v>
      </c>
      <c r="D1173">
        <f>LOG10(3.610233)</f>
        <v>0.55753523164218266</v>
      </c>
    </row>
    <row r="1174" spans="1:4">
      <c r="A1174">
        <v>1.1054600000000001</v>
      </c>
      <c r="B1174">
        <v>3.7069909999999999</v>
      </c>
      <c r="C1174">
        <f>LOG10(1.10546)</f>
        <v>4.3543032673608519E-2</v>
      </c>
      <c r="D1174">
        <f>LOG10(3.706991)</f>
        <v>0.56902153163110614</v>
      </c>
    </row>
    <row r="1175" spans="1:4">
      <c r="A1175">
        <v>1.0693159999999999</v>
      </c>
      <c r="B1175">
        <v>3.6333329999999999</v>
      </c>
      <c r="C1175">
        <f>LOG10(1.069316)</f>
        <v>2.910606514929236E-2</v>
      </c>
      <c r="D1175">
        <f>LOG10(3.633333)</f>
        <v>0.56030520337742895</v>
      </c>
    </row>
    <row r="1176" spans="1:4">
      <c r="A1176">
        <v>1.1182829999999999</v>
      </c>
      <c r="B1176">
        <v>3.594919</v>
      </c>
      <c r="C1176">
        <f>LOG10(1.118283)</f>
        <v>4.8551722857607275E-2</v>
      </c>
      <c r="D1176">
        <f>LOG10(3.594919)</f>
        <v>0.55568910939224181</v>
      </c>
    </row>
    <row r="1177" spans="1:4">
      <c r="A1177">
        <v>1.1213</v>
      </c>
      <c r="B1177">
        <v>3.7334809999999998</v>
      </c>
      <c r="C1177">
        <f>LOG10(1.1213)</f>
        <v>4.9721822152435001E-2</v>
      </c>
      <c r="D1177">
        <f>LOG10(3.733481)</f>
        <v>0.5721139455086155</v>
      </c>
    </row>
    <row r="1178" spans="1:4">
      <c r="A1178">
        <v>1.1018969999999999</v>
      </c>
      <c r="B1178">
        <v>3.6216010000000001</v>
      </c>
      <c r="C1178">
        <f>LOG10(1.101897)</f>
        <v>4.2141000666172872E-2</v>
      </c>
      <c r="D1178">
        <f>LOG10(3.621601)</f>
        <v>0.55890060140502829</v>
      </c>
    </row>
    <row r="1179" spans="1:4">
      <c r="A1179">
        <v>1.0937349999999999</v>
      </c>
      <c r="B1179">
        <v>3.6414260000000001</v>
      </c>
      <c r="C1179">
        <f>LOG10(1.093735)</f>
        <v>3.8912109950918879E-2</v>
      </c>
      <c r="D1179">
        <f>LOG10(3.641426)</f>
        <v>0.5612714887738246</v>
      </c>
    </row>
    <row r="1180" spans="1:4">
      <c r="A1180">
        <v>1.101593</v>
      </c>
      <c r="B1180">
        <v>3.6799409999999999</v>
      </c>
      <c r="C1180">
        <f>LOG10(1.101593)</f>
        <v>4.2021167562018846E-2</v>
      </c>
      <c r="D1180">
        <f>LOG10(3.679941)</f>
        <v>0.5658408557442135</v>
      </c>
    </row>
    <row r="1181" spans="1:4">
      <c r="A1181">
        <v>1.1249800000000001</v>
      </c>
      <c r="B1181">
        <v>3.779325</v>
      </c>
      <c r="C1181">
        <f>LOG10(1.12498)</f>
        <v>5.114480158796187E-2</v>
      </c>
      <c r="D1181">
        <f>LOG10(3.779325)</f>
        <v>0.57741424032600874</v>
      </c>
    </row>
    <row r="1182" spans="1:4">
      <c r="A1182">
        <v>1.1407229999999999</v>
      </c>
      <c r="B1182">
        <v>3.7940239999999998</v>
      </c>
      <c r="C1182">
        <f>LOG10(1.140723)</f>
        <v>5.7180198163714668E-2</v>
      </c>
      <c r="D1182">
        <f>LOG10(3.794024)</f>
        <v>0.57910007379423545</v>
      </c>
    </row>
    <row r="1183" spans="1:4">
      <c r="A1183">
        <v>1.130322</v>
      </c>
      <c r="B1183">
        <v>3.8017639999999999</v>
      </c>
      <c r="C1183">
        <f>LOG10(1.130322)</f>
        <v>5.3202180565232723E-2</v>
      </c>
      <c r="D1183">
        <f>LOG10(3.801764)</f>
        <v>0.57998515390794103</v>
      </c>
    </row>
    <row r="1184" spans="1:4">
      <c r="A1184">
        <v>1.1358509999999999</v>
      </c>
      <c r="B1184">
        <v>3.7336740000000002</v>
      </c>
      <c r="C1184">
        <f>LOG10(1.135851)</f>
        <v>5.5321364718387118E-2</v>
      </c>
      <c r="D1184">
        <f>LOG10(3.733674)</f>
        <v>0.57213639551401274</v>
      </c>
    </row>
    <row r="1185" spans="1:4">
      <c r="A1185">
        <v>1.1176379999999999</v>
      </c>
      <c r="B1185">
        <v>3.7743709999999999</v>
      </c>
      <c r="C1185">
        <f>LOG10(1.117638)</f>
        <v>4.8301159489225524E-2</v>
      </c>
      <c r="D1185">
        <f>LOG10(3.774371)</f>
        <v>0.57684458669636351</v>
      </c>
    </row>
    <row r="1186" spans="1:4">
      <c r="A1186">
        <v>1.1189260000000001</v>
      </c>
      <c r="B1186">
        <v>3.7691409999999999</v>
      </c>
      <c r="C1186">
        <f>LOG10(1.118926)</f>
        <v>4.8801365478885035E-2</v>
      </c>
      <c r="D1186">
        <f>LOG10(3.769141)</f>
        <v>0.57624238429931374</v>
      </c>
    </row>
    <row r="1187" spans="1:4">
      <c r="A1187">
        <v>1.105456</v>
      </c>
      <c r="B1187">
        <v>3.6534490000000002</v>
      </c>
      <c r="C1187">
        <f>LOG10(1.105456)</f>
        <v>4.3541461218222909E-2</v>
      </c>
      <c r="D1187">
        <f>LOG10(3.653449)</f>
        <v>0.56270304922792547</v>
      </c>
    </row>
    <row r="1188" spans="1:4">
      <c r="A1188">
        <v>1.1201049999999999</v>
      </c>
      <c r="B1188">
        <v>3.980899</v>
      </c>
      <c r="C1188">
        <f>LOG10(1.120105)</f>
        <v>4.9258735869458607E-2</v>
      </c>
      <c r="D1188">
        <f>LOG10(3.980899)</f>
        <v>0.59998115917186379</v>
      </c>
    </row>
    <row r="1189" spans="1:4">
      <c r="A1189">
        <v>1.134056</v>
      </c>
      <c r="B1189">
        <v>3.6451560000000001</v>
      </c>
      <c r="C1189">
        <f>LOG10(1.134056)</f>
        <v>5.4634500668440139E-2</v>
      </c>
      <c r="D1189">
        <f>LOG10(3.645156)</f>
        <v>0.56171611934519383</v>
      </c>
    </row>
    <row r="1190" spans="1:4">
      <c r="A1190">
        <v>1.132093</v>
      </c>
      <c r="B1190">
        <v>3.916998</v>
      </c>
      <c r="C1190">
        <f>LOG10(1.132093)</f>
        <v>5.3882105057025773E-2</v>
      </c>
      <c r="D1190">
        <f>LOG10(3.916998)</f>
        <v>0.59295334979928649</v>
      </c>
    </row>
    <row r="1191" spans="1:4">
      <c r="A1191">
        <v>1.130377</v>
      </c>
      <c r="B1191">
        <v>3.7373620000000001</v>
      </c>
      <c r="C1191">
        <f>LOG10(1.130377)</f>
        <v>5.3223312256368394E-2</v>
      </c>
      <c r="D1191">
        <f>LOG10(3.737362)</f>
        <v>0.5725651655478764</v>
      </c>
    </row>
    <row r="1192" spans="1:4">
      <c r="A1192">
        <v>1.1289130000000001</v>
      </c>
      <c r="B1192">
        <v>3.8699400000000002</v>
      </c>
      <c r="C1192">
        <f>LOG10(1.128913)</f>
        <v>5.2660474187332038E-2</v>
      </c>
      <c r="D1192">
        <f>LOG10(3.86994)</f>
        <v>0.58770423171893371</v>
      </c>
    </row>
    <row r="1193" spans="1:4">
      <c r="A1193">
        <v>1.156863</v>
      </c>
      <c r="B1193">
        <v>2.4033150000000001</v>
      </c>
      <c r="C1193">
        <f>LOG10(1.156863)</f>
        <v>6.3281931236201766E-2</v>
      </c>
      <c r="D1193">
        <f>LOG10(2.403315)</f>
        <v>0.38081069706112436</v>
      </c>
    </row>
    <row r="1194" spans="1:4">
      <c r="A1194">
        <v>1.008033</v>
      </c>
      <c r="B1194">
        <v>9.2347350000000006</v>
      </c>
      <c r="C1194">
        <f>LOG10(1.008033)</f>
        <v>3.4747498508867795E-3</v>
      </c>
      <c r="D1194">
        <f>LOG10(9.234735)</f>
        <v>0.96542443743852635</v>
      </c>
    </row>
    <row r="1195" spans="1:4">
      <c r="A1195">
        <v>1.008847</v>
      </c>
      <c r="B1195">
        <v>9.8503779999999992</v>
      </c>
      <c r="C1195">
        <f>LOG10(1.008847)</f>
        <v>3.8253068770497246E-3</v>
      </c>
      <c r="D1195">
        <f>LOG10(9.850378)</f>
        <v>0.99345289650414004</v>
      </c>
    </row>
    <row r="1196" spans="1:4">
      <c r="A1196">
        <v>1.008853</v>
      </c>
      <c r="B1196">
        <v>7.5818250000000003</v>
      </c>
      <c r="C1196">
        <f>LOG10(1.008853)</f>
        <v>3.8278897852039653E-3</v>
      </c>
      <c r="D1196">
        <f>LOG10(7.581825)</f>
        <v>0.87977375603192975</v>
      </c>
    </row>
    <row r="1197" spans="1:4">
      <c r="A1197">
        <v>1.010267</v>
      </c>
      <c r="B1197">
        <v>9.2794620000000005</v>
      </c>
      <c r="C1197">
        <f>LOG10(1.010267)</f>
        <v>4.4361671513837323E-3</v>
      </c>
      <c r="D1197">
        <f>LOG10(9.279462)</f>
        <v>0.96752279764080529</v>
      </c>
    </row>
    <row r="1198" spans="1:4">
      <c r="A1198">
        <v>1.009244</v>
      </c>
      <c r="B1198">
        <v>9.8155359999999998</v>
      </c>
      <c r="C1198">
        <f>LOG10(1.009244)</f>
        <v>3.9961761902171447E-3</v>
      </c>
      <c r="D1198">
        <f>LOG10(9.815536)</f>
        <v>0.99191402023621755</v>
      </c>
    </row>
    <row r="1199" spans="1:4">
      <c r="A1199">
        <v>1.0080830000000001</v>
      </c>
      <c r="B1199">
        <v>9.811731</v>
      </c>
      <c r="C1199">
        <f>LOG10(1.008083)</f>
        <v>3.4962909964356076E-3</v>
      </c>
      <c r="D1199">
        <f>LOG10(9.811731)</f>
        <v>0.99174563300998342</v>
      </c>
    </row>
    <row r="1200" spans="1:4">
      <c r="A1200">
        <v>1.008675</v>
      </c>
      <c r="B1200">
        <v>9.3979730000000004</v>
      </c>
      <c r="C1200">
        <f>LOG10(1.008675)</f>
        <v>3.7512569771543497E-3</v>
      </c>
      <c r="D1200">
        <f>LOG10(9.397973)</f>
        <v>0.97303419297807425</v>
      </c>
    </row>
    <row r="1201" spans="1:4">
      <c r="A1201">
        <v>1.0085489999999999</v>
      </c>
      <c r="B1201">
        <v>10.05109</v>
      </c>
      <c r="C1201">
        <f>LOG10(1.008549)</f>
        <v>3.6970031066957342E-3</v>
      </c>
      <c r="D1201">
        <f>LOG10(10.05109)</f>
        <v>1.0022131617879726</v>
      </c>
    </row>
    <row r="1202" spans="1:4">
      <c r="A1202">
        <v>1.0096700000000001</v>
      </c>
      <c r="B1202">
        <v>9.4186049999999994</v>
      </c>
      <c r="C1202">
        <f>LOG10(1.00967)</f>
        <v>4.1794523991458277E-3</v>
      </c>
      <c r="D1202">
        <f>LOG10(9.418605)</f>
        <v>0.97398658372006253</v>
      </c>
    </row>
    <row r="1203" spans="1:4">
      <c r="A1203">
        <v>1.0153369999999999</v>
      </c>
      <c r="B1203">
        <v>10.08</v>
      </c>
      <c r="C1203">
        <f>LOG10(1.015337)</f>
        <v>6.6102126423688429E-3</v>
      </c>
      <c r="D1203">
        <f>LOG10(10.08)</f>
        <v>1.0034605321095065</v>
      </c>
    </row>
    <row r="1204" spans="1:4">
      <c r="A1204">
        <v>1.0104120000000001</v>
      </c>
      <c r="B1204">
        <v>9.4235849999999992</v>
      </c>
      <c r="C1204">
        <f>LOG10(1.010412)</f>
        <v>4.4984954083548646E-3</v>
      </c>
      <c r="D1204">
        <f>LOG10(9.423585)</f>
        <v>0.97421615221186075</v>
      </c>
    </row>
    <row r="1205" spans="1:4">
      <c r="A1205">
        <v>1.0139260000000001</v>
      </c>
      <c r="B1205">
        <v>9.0220939999999992</v>
      </c>
      <c r="C1205">
        <f>LOG10(1.013926)</f>
        <v>6.0062597661548313E-3</v>
      </c>
      <c r="D1205">
        <f>LOG10(9.022094)</f>
        <v>0.95530734764183245</v>
      </c>
    </row>
    <row r="1206" spans="1:4">
      <c r="A1206">
        <v>1.006599</v>
      </c>
      <c r="B1206">
        <v>8.8967539999999996</v>
      </c>
      <c r="C1206">
        <f>LOG10(1.006599)</f>
        <v>2.8564946139741829E-3</v>
      </c>
      <c r="D1206">
        <f>LOG10(8.896754)</f>
        <v>0.94923158225989401</v>
      </c>
    </row>
    <row r="1207" spans="1:4">
      <c r="A1207">
        <v>1.0082800000000001</v>
      </c>
      <c r="B1207">
        <v>8.9154309999999999</v>
      </c>
      <c r="C1207">
        <f>LOG10(1.00828)</f>
        <v>3.581152713504572E-3</v>
      </c>
      <c r="D1207">
        <f>LOG10(8.915431)</f>
        <v>0.95014234318127466</v>
      </c>
    </row>
    <row r="1208" spans="1:4">
      <c r="A1208">
        <v>1.0077560000000001</v>
      </c>
      <c r="B1208">
        <v>8.5378380000000007</v>
      </c>
      <c r="C1208">
        <f>LOG10(1.007756)</f>
        <v>3.3553925448945917E-3</v>
      </c>
      <c r="D1208">
        <f>LOG10(8.537838)</f>
        <v>0.93134791008686202</v>
      </c>
    </row>
    <row r="1209" spans="1:4">
      <c r="A1209">
        <v>1.0101199999999999</v>
      </c>
      <c r="B1209">
        <v>8.3785980000000002</v>
      </c>
      <c r="C1209">
        <f>LOG10(1.01012)</f>
        <v>4.3729700619622664E-3</v>
      </c>
      <c r="D1209">
        <f>LOG10(8.378598)</f>
        <v>0.92317135373730053</v>
      </c>
    </row>
    <row r="1210" spans="1:4">
      <c r="A1210">
        <v>1.007755</v>
      </c>
      <c r="B1210">
        <v>7.7148940000000001</v>
      </c>
      <c r="C1210">
        <f>LOG10(1.007755)</f>
        <v>3.3549615926626625E-3</v>
      </c>
      <c r="D1210">
        <f>LOG10(7.714894)</f>
        <v>0.88732996338279191</v>
      </c>
    </row>
    <row r="1211" spans="1:4">
      <c r="A1211">
        <v>1.008202</v>
      </c>
      <c r="B1211">
        <v>7.3479140000000003</v>
      </c>
      <c r="C1211">
        <f>LOG10(1.008202)</f>
        <v>3.5475546257404777E-3</v>
      </c>
      <c r="D1211">
        <f>LOG10(7.347914)</f>
        <v>0.86616406468004026</v>
      </c>
    </row>
    <row r="1212" spans="1:4">
      <c r="A1212">
        <v>1.0093099999999999</v>
      </c>
      <c r="B1212">
        <v>7.4380850000000001</v>
      </c>
      <c r="C1212">
        <f>LOG10(1.00931)</f>
        <v>4.0245761595177291E-3</v>
      </c>
      <c r="D1212">
        <f>LOG10(7.438085)</f>
        <v>0.871461137026454</v>
      </c>
    </row>
    <row r="1213" spans="1:4">
      <c r="A1213">
        <v>1.0095320000000001</v>
      </c>
      <c r="B1213">
        <v>7.6154640000000002</v>
      </c>
      <c r="C1213">
        <f>LOG10(1.009532)</f>
        <v>4.1200897018070287E-3</v>
      </c>
      <c r="D1213">
        <f>LOG10(7.615464)</f>
        <v>0.88169636945807994</v>
      </c>
    </row>
    <row r="1214" spans="1:4">
      <c r="A1214">
        <v>1.007452</v>
      </c>
      <c r="B1214">
        <v>7.308986</v>
      </c>
      <c r="C1214">
        <f>LOG10(1.007452)</f>
        <v>3.224363367261208E-3</v>
      </c>
      <c r="D1214">
        <f>LOG10(7.308986)</f>
        <v>0.86385713001523989</v>
      </c>
    </row>
    <row r="1215" spans="1:4">
      <c r="A1215">
        <v>1.0098389999999999</v>
      </c>
      <c r="B1215">
        <v>7.6173830000000002</v>
      </c>
      <c r="C1215">
        <f>LOG10(1.009839)</f>
        <v>4.2521391439069751E-3</v>
      </c>
      <c r="D1215">
        <f>LOG10(7.617383)</f>
        <v>0.88180579235390255</v>
      </c>
    </row>
    <row r="1216" spans="1:4">
      <c r="A1216">
        <v>1.0083299999999999</v>
      </c>
      <c r="B1216">
        <v>6.9990790000000001</v>
      </c>
      <c r="C1216">
        <f>LOG10(1.00833)</f>
        <v>3.6026885822144977E-3</v>
      </c>
      <c r="D1216">
        <f>LOG10(6.999079)</f>
        <v>0.84504089550947759</v>
      </c>
    </row>
    <row r="1217" spans="1:4">
      <c r="A1217">
        <v>1.0083150000000001</v>
      </c>
      <c r="B1217">
        <v>6.9204359999999996</v>
      </c>
      <c r="C1217">
        <f>LOG10(1.008315)</f>
        <v>3.596227933732871E-3</v>
      </c>
      <c r="D1217">
        <f>LOG10(6.920436)</f>
        <v>0.84013345665751105</v>
      </c>
    </row>
    <row r="1218" spans="1:4">
      <c r="A1218">
        <v>1.0075099999999999</v>
      </c>
      <c r="B1218">
        <v>6.8475679999999999</v>
      </c>
      <c r="C1218">
        <f>LOG10(1.00751)</f>
        <v>3.2493654069595231E-3</v>
      </c>
      <c r="D1218">
        <f>LOG10(6.847568)</f>
        <v>0.83553635372309787</v>
      </c>
    </row>
    <row r="1219" spans="1:4">
      <c r="A1219">
        <v>1.0110440000000001</v>
      </c>
      <c r="B1219">
        <v>7.4031390000000004</v>
      </c>
      <c r="C1219">
        <f>LOG10(1.011044)</f>
        <v>4.7700562254153322E-3</v>
      </c>
      <c r="D1219">
        <f>LOG10(7.403139)</f>
        <v>0.86941590369346244</v>
      </c>
    </row>
    <row r="1220" spans="1:4">
      <c r="A1220">
        <v>1.009225</v>
      </c>
      <c r="B1220">
        <v>8.1175719999999991</v>
      </c>
      <c r="C1220">
        <f>LOG10(1.009225)</f>
        <v>3.9880000971917861E-3</v>
      </c>
      <c r="D1220">
        <f>LOG10(8.117572)</f>
        <v>0.90942614935397048</v>
      </c>
    </row>
    <row r="1221" spans="1:4">
      <c r="A1221">
        <v>1.008751</v>
      </c>
      <c r="B1221">
        <v>8.0118460000000002</v>
      </c>
      <c r="C1221">
        <f>LOG10(1.008751)</f>
        <v>3.7839782572808536E-3</v>
      </c>
      <c r="D1221">
        <f>LOG10(8.011846)</f>
        <v>0.9037325928940062</v>
      </c>
    </row>
    <row r="1222" spans="1:4">
      <c r="A1222">
        <v>1.0078009999999999</v>
      </c>
      <c r="B1222">
        <v>7.6535479999999998</v>
      </c>
      <c r="C1222">
        <f>LOG10(1.007801)</f>
        <v>3.3747849527390027E-3</v>
      </c>
      <c r="D1222">
        <f>LOG10(7.653548)</f>
        <v>0.88386281026602953</v>
      </c>
    </row>
    <row r="1223" spans="1:4">
      <c r="A1223">
        <v>1.009001</v>
      </c>
      <c r="B1223">
        <v>7.0539180000000004</v>
      </c>
      <c r="C1223">
        <f>LOG10(1.009001)</f>
        <v>3.8915966573928895E-3</v>
      </c>
      <c r="D1223">
        <f>LOG10(7.053918)</f>
        <v>0.84843040679808468</v>
      </c>
    </row>
    <row r="1224" spans="1:4">
      <c r="A1224">
        <v>1.005029</v>
      </c>
      <c r="B1224">
        <v>7.276376</v>
      </c>
      <c r="C1224">
        <f>LOG10(1.005029)</f>
        <v>2.1785934562752384E-3</v>
      </c>
      <c r="D1224">
        <f>LOG10(7.276376)</f>
        <v>0.86191513273697529</v>
      </c>
    </row>
    <row r="1225" spans="1:4">
      <c r="A1225">
        <v>1.008948</v>
      </c>
      <c r="B1225">
        <v>7.6537839999999999</v>
      </c>
      <c r="C1225">
        <f>LOG10(1.008948)</f>
        <v>3.8687837839791409E-3</v>
      </c>
      <c r="D1225">
        <f>LOG10(7.653784)</f>
        <v>0.88387620169148984</v>
      </c>
    </row>
    <row r="1226" spans="1:4">
      <c r="A1226">
        <v>1.008157</v>
      </c>
      <c r="B1226">
        <v>7.652755</v>
      </c>
      <c r="C1226">
        <f>LOG10(1.008157)</f>
        <v>3.5281699311608692E-3</v>
      </c>
      <c r="D1226">
        <f>LOG10(7.652755)</f>
        <v>0.88381780978165947</v>
      </c>
    </row>
    <row r="1227" spans="1:4">
      <c r="A1227">
        <v>1.010073</v>
      </c>
      <c r="B1227">
        <v>7.2544529999999998</v>
      </c>
      <c r="C1227">
        <f>LOG10(1.010073)</f>
        <v>4.3527622494878198E-3</v>
      </c>
      <c r="D1227">
        <f>LOG10(7.254453)</f>
        <v>0.86060467135162011</v>
      </c>
    </row>
    <row r="1228" spans="1:4">
      <c r="A1228">
        <v>1.0089710000000001</v>
      </c>
      <c r="B1228">
        <v>7.7904730000000004</v>
      </c>
      <c r="C1228">
        <f>LOG10(1.008971)</f>
        <v>3.8786838573559748E-3</v>
      </c>
      <c r="D1228">
        <f>LOG10(7.790473)</f>
        <v>0.89156382674236145</v>
      </c>
    </row>
    <row r="1229" spans="1:4">
      <c r="A1229">
        <v>1.008402</v>
      </c>
      <c r="B1229">
        <v>8.1147849999999995</v>
      </c>
      <c r="C1229">
        <f>LOG10(1.008402)</f>
        <v>3.6336983571477566E-3</v>
      </c>
      <c r="D1229">
        <f>LOG10(8.114785)</f>
        <v>0.9092770177481343</v>
      </c>
    </row>
    <row r="1230" spans="1:4">
      <c r="A1230">
        <v>1.008829</v>
      </c>
      <c r="B1230">
        <v>8.5451859999999993</v>
      </c>
      <c r="C1230">
        <f>LOG10(1.008829)</f>
        <v>3.81755806041663E-3</v>
      </c>
      <c r="D1230">
        <f>LOG10(8.545186)</f>
        <v>0.93172152029192079</v>
      </c>
    </row>
    <row r="1231" spans="1:4">
      <c r="A1231">
        <v>1.009134</v>
      </c>
      <c r="B1231">
        <v>8.6960709999999999</v>
      </c>
      <c r="C1231">
        <f>LOG10(1.009134)</f>
        <v>3.9488387806172797E-3</v>
      </c>
      <c r="D1231">
        <f>LOG10(8.696071)</f>
        <v>0.93932307693637263</v>
      </c>
    </row>
    <row r="1232" spans="1:4">
      <c r="A1232">
        <v>1.0092699999999999</v>
      </c>
      <c r="B1232">
        <v>8.7407979999999998</v>
      </c>
      <c r="C1232">
        <f>LOG10(1.00927)</f>
        <v>4.0073642786129134E-3</v>
      </c>
      <c r="D1232">
        <f>LOG10(8.740798)</f>
        <v>0.94155108379870334</v>
      </c>
    </row>
    <row r="1233" spans="1:4">
      <c r="A1233">
        <v>1.010437</v>
      </c>
      <c r="B1233">
        <v>8.6770610000000001</v>
      </c>
      <c r="C1233">
        <f>LOG10(1.010437)</f>
        <v>4.509240755531334E-3</v>
      </c>
      <c r="D1233">
        <f>LOG10(8.677061)</f>
        <v>0.93837265056581765</v>
      </c>
    </row>
    <row r="1234" spans="1:4">
      <c r="A1234">
        <v>1.0068079999999999</v>
      </c>
      <c r="B1234">
        <v>8.8994260000000001</v>
      </c>
      <c r="C1234">
        <f>LOG10(1.006808)</f>
        <v>2.9466577524193691E-3</v>
      </c>
      <c r="D1234">
        <f>LOG10(8.899426)</f>
        <v>0.94936199618741834</v>
      </c>
    </row>
    <row r="1235" spans="1:4">
      <c r="A1235">
        <v>1.0095019999999999</v>
      </c>
      <c r="B1235">
        <v>8.6242959999999993</v>
      </c>
      <c r="C1235">
        <f>LOG10(1.009502)</f>
        <v>4.107183693826834E-3</v>
      </c>
      <c r="D1235">
        <f>LOG10(8.624296)</f>
        <v>0.93572365379820321</v>
      </c>
    </row>
    <row r="1236" spans="1:4">
      <c r="A1236">
        <v>1.008184</v>
      </c>
      <c r="B1236">
        <v>8.8886430000000001</v>
      </c>
      <c r="C1236">
        <f>LOG10(1.008184)</f>
        <v>3.539800851736395E-3</v>
      </c>
      <c r="D1236">
        <f>LOG10(8.888643)</f>
        <v>0.94883546371534588</v>
      </c>
    </row>
    <row r="1237" spans="1:4">
      <c r="A1237">
        <v>1.0111939999999999</v>
      </c>
      <c r="B1237">
        <v>8.5191239999999997</v>
      </c>
      <c r="C1237">
        <f>LOG10(1.011194)</f>
        <v>4.8344840251153733E-3</v>
      </c>
      <c r="D1237">
        <f>LOG10(8.519124)</f>
        <v>0.93039493965808273</v>
      </c>
    </row>
    <row r="1238" spans="1:4">
      <c r="A1238">
        <v>1.010089</v>
      </c>
      <c r="B1238">
        <v>9.2703930000000003</v>
      </c>
      <c r="C1238">
        <f>LOG10(1.010089)</f>
        <v>4.3596416103614567E-3</v>
      </c>
      <c r="D1238">
        <f>LOG10(9.270393)</f>
        <v>0.96709814559148355</v>
      </c>
    </row>
    <row r="1239" spans="1:4">
      <c r="A1239">
        <v>1.0095609999999999</v>
      </c>
      <c r="B1239">
        <v>8.8516239999999993</v>
      </c>
      <c r="C1239">
        <f>LOG10(1.009561)</f>
        <v>4.1325651449649102E-3</v>
      </c>
      <c r="D1239">
        <f>LOG10(8.851624)</f>
        <v>0.94702295765090827</v>
      </c>
    </row>
    <row r="1240" spans="1:4">
      <c r="A1240">
        <v>1.0081249999999999</v>
      </c>
      <c r="B1240">
        <v>8.8789510000000007</v>
      </c>
      <c r="C1240">
        <f>LOG10(1.008125)</f>
        <v>3.5143847330367131E-3</v>
      </c>
      <c r="D1240">
        <f>LOG10(8.878951)</f>
        <v>0.94836165926707949</v>
      </c>
    </row>
    <row r="1241" spans="1:4">
      <c r="A1241">
        <v>1.1246590000000001</v>
      </c>
      <c r="B1241">
        <v>3.6396449999999998</v>
      </c>
      <c r="C1241">
        <f>LOG10(1.124659)</f>
        <v>5.1020863009694793E-2</v>
      </c>
      <c r="D1241">
        <f>LOG10(3.639645)</f>
        <v>0.56105902594034962</v>
      </c>
    </row>
    <row r="1242" spans="1:4">
      <c r="A1242">
        <v>1.1230929999999999</v>
      </c>
      <c r="B1242">
        <v>3.8573770000000001</v>
      </c>
      <c r="C1242">
        <f>LOG10(1.123093)</f>
        <v>5.0415720388357281E-2</v>
      </c>
      <c r="D1242">
        <f>LOG10(3.857377)</f>
        <v>0.58629208662813803</v>
      </c>
    </row>
    <row r="1243" spans="1:4">
      <c r="A1243">
        <v>1.1225339999999999</v>
      </c>
      <c r="B1243">
        <v>3.6465770000000002</v>
      </c>
      <c r="C1243">
        <f>LOG10(1.122534)</f>
        <v>5.0199504052876494E-2</v>
      </c>
      <c r="D1243">
        <f>LOG10(3.646577)</f>
        <v>0.56188538842473823</v>
      </c>
    </row>
    <row r="1244" spans="1:4">
      <c r="A1244">
        <v>1.0842860000000001</v>
      </c>
      <c r="B1244">
        <v>3.3293539999999999</v>
      </c>
      <c r="C1244">
        <f>LOG10(1.084286)</f>
        <v>3.5143850319807136E-2</v>
      </c>
      <c r="D1244">
        <f>LOG10(3.329354)</f>
        <v>0.52235997481210128</v>
      </c>
    </row>
    <row r="1245" spans="1:4">
      <c r="A1245">
        <v>1.119211</v>
      </c>
      <c r="B1245">
        <v>3.3973209999999998</v>
      </c>
      <c r="C1245">
        <f>LOG10(1.119211)</f>
        <v>4.8911969903914748E-2</v>
      </c>
      <c r="D1245">
        <f>LOG10(3.397321)</f>
        <v>0.5311365836502433</v>
      </c>
    </row>
    <row r="1246" spans="1:4">
      <c r="A1246">
        <v>1.1053539999999999</v>
      </c>
      <c r="B1246">
        <v>3.4661110000000002</v>
      </c>
      <c r="C1246">
        <f>LOG10(1.105354)</f>
        <v>4.3501387184555991E-2</v>
      </c>
      <c r="D1246">
        <f>LOG10(3.466111)</f>
        <v>0.53984246660513102</v>
      </c>
    </row>
    <row r="1247" spans="1:4">
      <c r="A1247">
        <v>1.0911900000000001</v>
      </c>
      <c r="B1247">
        <v>3.6138509999999999</v>
      </c>
      <c r="C1247">
        <f>LOG10(1.09119)</f>
        <v>3.7900377322741888E-2</v>
      </c>
      <c r="D1247">
        <f>LOG10(3.613851)</f>
        <v>0.55797024252159599</v>
      </c>
    </row>
    <row r="1248" spans="1:4">
      <c r="A1248">
        <v>1.1065400000000001</v>
      </c>
      <c r="B1248">
        <v>3.6748500000000002</v>
      </c>
      <c r="C1248">
        <f>LOG10(1.10654)</f>
        <v>4.3967117734843519E-2</v>
      </c>
      <c r="D1248">
        <f>LOG10(3.67485)</f>
        <v>0.56523961675305878</v>
      </c>
    </row>
    <row r="1249" spans="1:4">
      <c r="A1249">
        <v>1.091296</v>
      </c>
      <c r="B1249">
        <v>3.8178529999999999</v>
      </c>
      <c r="C1249">
        <f>LOG10(1.091296)</f>
        <v>3.7942563357491174E-2</v>
      </c>
      <c r="D1249">
        <f>LOG10(3.817853)</f>
        <v>0.58181920260194486</v>
      </c>
    </row>
    <row r="1250" spans="1:4">
      <c r="A1250">
        <v>1.0808629999999999</v>
      </c>
      <c r="B1250">
        <v>3.7580119999999999</v>
      </c>
      <c r="C1250">
        <f>LOG10(1.080863)</f>
        <v>3.3770650369049512E-2</v>
      </c>
      <c r="D1250">
        <f>LOG10(3.758012)</f>
        <v>0.5749581625461625</v>
      </c>
    </row>
    <row r="1251" spans="1:4">
      <c r="A1251">
        <v>1.096311</v>
      </c>
      <c r="B1251">
        <v>3.4912290000000001</v>
      </c>
      <c r="C1251">
        <f>LOG10(1.096311)</f>
        <v>3.9933771688907285E-2</v>
      </c>
      <c r="D1251">
        <f>LOG10(3.491229)</f>
        <v>0.54297833640356941</v>
      </c>
    </row>
    <row r="1252" spans="1:4">
      <c r="A1252">
        <v>1.0872459999999999</v>
      </c>
      <c r="B1252">
        <v>3.5274519999999998</v>
      </c>
      <c r="C1252">
        <f>LOG10(1.087246)</f>
        <v>3.6327818562139548E-2</v>
      </c>
      <c r="D1252">
        <f>LOG10(3.527452)</f>
        <v>0.5474611127801875</v>
      </c>
    </row>
    <row r="1253" spans="1:4">
      <c r="A1253">
        <v>1.1003099999999999</v>
      </c>
      <c r="B1253">
        <v>3.5154130000000001</v>
      </c>
      <c r="C1253">
        <f>LOG10(1.10031)</f>
        <v>4.1515059996571242E-2</v>
      </c>
      <c r="D1253">
        <f>LOG10(3.515413)</f>
        <v>0.54597635441546088</v>
      </c>
    </row>
    <row r="1254" spans="1:4">
      <c r="A1254">
        <v>1.103979</v>
      </c>
      <c r="B1254">
        <v>3.4395769999999999</v>
      </c>
      <c r="C1254">
        <f>LOG10(1.103979)</f>
        <v>4.296081227826893E-2</v>
      </c>
      <c r="D1254">
        <f>LOG10(3.439577)</f>
        <v>0.53650503621643686</v>
      </c>
    </row>
    <row r="1255" spans="1:4">
      <c r="A1255">
        <v>1.0959490000000001</v>
      </c>
      <c r="B1255">
        <v>3.5613320000000002</v>
      </c>
      <c r="C1255">
        <f>LOG10(1.095949)</f>
        <v>3.9790344719589893E-2</v>
      </c>
      <c r="D1255">
        <f>LOG10(3.561332)</f>
        <v>0.55161246203343051</v>
      </c>
    </row>
    <row r="1256" spans="1:4">
      <c r="A1256">
        <v>1.1040080000000001</v>
      </c>
      <c r="B1256">
        <v>3.5314009999999998</v>
      </c>
      <c r="C1256">
        <f>LOG10(1.104008)</f>
        <v>4.2972220443240859E-2</v>
      </c>
      <c r="D1256">
        <f>LOG10(3.531401)</f>
        <v>0.54794703565971337</v>
      </c>
    </row>
    <row r="1257" spans="1:4">
      <c r="A1257">
        <v>1.078929</v>
      </c>
      <c r="B1257">
        <v>3.5347050000000002</v>
      </c>
      <c r="C1257">
        <f>LOG10(1.078929)</f>
        <v>3.2992866441248186E-2</v>
      </c>
      <c r="D1257">
        <f>LOG10(3.534705)</f>
        <v>0.54835317422394725</v>
      </c>
    </row>
    <row r="1258" spans="1:4">
      <c r="A1258">
        <v>1.0782350000000001</v>
      </c>
      <c r="B1258">
        <v>3.4812859999999999</v>
      </c>
      <c r="C1258">
        <f>LOG10(1.078235)</f>
        <v>3.2713425118437819E-2</v>
      </c>
      <c r="D1258">
        <f>LOG10(3.481286)</f>
        <v>0.54173970358294143</v>
      </c>
    </row>
    <row r="1259" spans="1:4">
      <c r="A1259">
        <v>1.08046</v>
      </c>
      <c r="B1259">
        <v>3.3516409999999999</v>
      </c>
      <c r="C1259">
        <f>LOG10(1.08046)</f>
        <v>3.3608693384151553E-2</v>
      </c>
      <c r="D1259">
        <f>LOG10(3.351641)</f>
        <v>0.52525749442462</v>
      </c>
    </row>
    <row r="1260" spans="1:4">
      <c r="A1260">
        <v>1.0694589999999999</v>
      </c>
      <c r="B1260">
        <v>3.3088160000000002</v>
      </c>
      <c r="C1260">
        <f>LOG10(1.069459)</f>
        <v>2.9164139618093155E-2</v>
      </c>
      <c r="D1260">
        <f>LOG10(3.308816)</f>
        <v>0.51967261714278068</v>
      </c>
    </row>
    <row r="1261" spans="1:4">
      <c r="A1261">
        <v>1.072465</v>
      </c>
      <c r="B1261">
        <v>3.3105899999999999</v>
      </c>
      <c r="C1261">
        <f>LOG10(1.072465)</f>
        <v>3.0383127845204128E-2</v>
      </c>
      <c r="D1261">
        <f>LOG10(3.31059)</f>
        <v>0.51990539888462928</v>
      </c>
    </row>
    <row r="1262" spans="1:4">
      <c r="A1262">
        <v>1.059931</v>
      </c>
      <c r="B1262">
        <v>3.3909750000000001</v>
      </c>
      <c r="C1262">
        <f>LOG10(1.059931)</f>
        <v>2.5277594232116889E-2</v>
      </c>
      <c r="D1262">
        <f>LOG10(3.390975)</f>
        <v>0.53032458794910653</v>
      </c>
    </row>
    <row r="1263" spans="1:4">
      <c r="A1263">
        <v>1.064087</v>
      </c>
      <c r="B1263">
        <v>3.378784</v>
      </c>
      <c r="C1263">
        <f>LOG10(1.064087)</f>
        <v>2.6977137428281936E-2</v>
      </c>
      <c r="D1263">
        <f>LOG10(3.378784)</f>
        <v>0.52876042894373065</v>
      </c>
    </row>
    <row r="1264" spans="1:4">
      <c r="A1264">
        <v>1.070573</v>
      </c>
      <c r="B1264">
        <v>3.3580410000000001</v>
      </c>
      <c r="C1264">
        <f>LOG10(1.070573)</f>
        <v>2.9616286218274758E-2</v>
      </c>
      <c r="D1264">
        <f>LOG10(3.358041)</f>
        <v>0.526085994352672</v>
      </c>
    </row>
    <row r="1265" spans="1:4">
      <c r="A1265">
        <v>1.0507709999999999</v>
      </c>
      <c r="B1265">
        <v>3.3670390000000001</v>
      </c>
      <c r="C1265">
        <f>LOG10(1.050771)</f>
        <v>2.1508078280600411E-2</v>
      </c>
      <c r="D1265">
        <f>LOG10(3.367039)</f>
        <v>0.5272481467969693</v>
      </c>
    </row>
    <row r="1266" spans="1:4">
      <c r="A1266">
        <v>1.0409029999999999</v>
      </c>
      <c r="B1266">
        <v>3.2564700000000002</v>
      </c>
      <c r="C1266">
        <f>LOG10(1.040903)</f>
        <v>1.7410260223758495E-2</v>
      </c>
      <c r="D1266">
        <f>LOG10(3.25647)</f>
        <v>0.51274708162127269</v>
      </c>
    </row>
    <row r="1267" spans="1:4">
      <c r="A1267">
        <v>1.0437749999999999</v>
      </c>
      <c r="B1267">
        <v>3.2777579999999999</v>
      </c>
      <c r="C1267">
        <f>LOG10(1.043775)</f>
        <v>1.8606890630122046E-2</v>
      </c>
      <c r="D1267">
        <f>LOG10(3.277758)</f>
        <v>0.51557688604219398</v>
      </c>
    </row>
    <row r="1268" spans="1:4">
      <c r="A1268">
        <v>1.0766290000000001</v>
      </c>
      <c r="B1268">
        <v>3.264999</v>
      </c>
      <c r="C1268">
        <f>LOG10(1.076629)</f>
        <v>3.2066073761622335E-2</v>
      </c>
      <c r="D1268">
        <f>LOG10(3.264999)</f>
        <v>0.51388305259591716</v>
      </c>
    </row>
    <row r="1269" spans="1:4">
      <c r="A1269">
        <v>1.090509</v>
      </c>
      <c r="B1269">
        <v>3.2969889999999999</v>
      </c>
      <c r="C1269">
        <f>LOG10(1.090509)</f>
        <v>3.7629254173506758E-2</v>
      </c>
      <c r="D1269">
        <f>LOG10(3.296989)</f>
        <v>0.51811749817522146</v>
      </c>
    </row>
    <row r="1270" spans="1:4">
      <c r="A1270">
        <v>1.0855790000000001</v>
      </c>
      <c r="B1270">
        <v>3.3555120000000001</v>
      </c>
      <c r="C1270">
        <f>LOG10(1.085579)</f>
        <v>3.5661433516518404E-2</v>
      </c>
      <c r="D1270">
        <f>LOG10(3.355512)</f>
        <v>0.52575879628134214</v>
      </c>
    </row>
    <row r="1271" spans="1:4">
      <c r="A1271">
        <v>1.0864769999999999</v>
      </c>
      <c r="B1271">
        <v>3.4927709999999998</v>
      </c>
      <c r="C1271">
        <f>LOG10(1.086477)</f>
        <v>3.6020537026712762E-2</v>
      </c>
      <c r="D1271">
        <f>LOG10(3.492771)</f>
        <v>0.54317011249233704</v>
      </c>
    </row>
    <row r="1272" spans="1:4">
      <c r="A1272">
        <v>1.0840749999999999</v>
      </c>
      <c r="B1272">
        <v>3.3493390000000001</v>
      </c>
      <c r="C1272">
        <f>LOG10(1.084075)</f>
        <v>3.5059329212878083E-2</v>
      </c>
      <c r="D1272">
        <f>LOG10(3.349339)</f>
        <v>0.52495910644654231</v>
      </c>
    </row>
    <row r="1273" spans="1:4">
      <c r="A1273">
        <v>1.090859</v>
      </c>
      <c r="B1273">
        <v>3.4980289999999998</v>
      </c>
      <c r="C1273">
        <f>LOG10(1.090859)</f>
        <v>3.7768619076604781E-2</v>
      </c>
      <c r="D1273">
        <f>LOG10(3.498029)</f>
        <v>0.54382340562515297</v>
      </c>
    </row>
    <row r="1274" spans="1:4">
      <c r="A1274">
        <v>1.0968789999999999</v>
      </c>
      <c r="B1274">
        <v>3.512381</v>
      </c>
      <c r="C1274">
        <f>LOG10(1.096879)</f>
        <v>4.0158721894987134E-2</v>
      </c>
      <c r="D1274">
        <f>LOG10(3.512381)</f>
        <v>0.54560161919959393</v>
      </c>
    </row>
    <row r="1275" spans="1:4">
      <c r="A1275">
        <v>1.0948469999999999</v>
      </c>
      <c r="B1275">
        <v>3.6307839999999998</v>
      </c>
      <c r="C1275">
        <f>LOG10(1.094847)</f>
        <v>3.9353432693620911E-2</v>
      </c>
      <c r="D1275">
        <f>LOG10(3.630784)</f>
        <v>0.56000041294527914</v>
      </c>
    </row>
    <row r="1276" spans="1:4">
      <c r="A1276">
        <v>1.0942430000000001</v>
      </c>
      <c r="B1276">
        <v>3.5473050000000002</v>
      </c>
      <c r="C1276">
        <f>LOG10(1.094243)</f>
        <v>3.9113777061622231E-2</v>
      </c>
      <c r="D1276">
        <f>LOG10(3.547305)</f>
        <v>0.5498985310494221</v>
      </c>
    </row>
    <row r="1277" spans="1:4">
      <c r="A1277">
        <v>1.0981749999999999</v>
      </c>
      <c r="B1277">
        <v>3.6461260000000002</v>
      </c>
      <c r="C1277">
        <f>LOG10(1.098175)</f>
        <v>4.0671552753770657E-2</v>
      </c>
      <c r="D1277">
        <f>LOG10(3.646126)</f>
        <v>0.56183167259081823</v>
      </c>
    </row>
    <row r="1278" spans="1:4">
      <c r="A1278">
        <v>1.092784</v>
      </c>
      <c r="B1278">
        <v>3.5721440000000002</v>
      </c>
      <c r="C1278">
        <f>LOG10(1.092784)</f>
        <v>3.8534327660133039E-2</v>
      </c>
      <c r="D1278">
        <f>LOG10(3.572144)</f>
        <v>0.5529289578158525</v>
      </c>
    </row>
    <row r="1279" spans="1:4">
      <c r="A1279">
        <v>1.1043940000000001</v>
      </c>
      <c r="B1279">
        <v>3.58141</v>
      </c>
      <c r="C1279">
        <f>LOG10(1.104394)</f>
        <v>4.312403851958909E-2</v>
      </c>
      <c r="D1279">
        <f>LOG10(3.58141)</f>
        <v>0.55405404191248664</v>
      </c>
    </row>
    <row r="1280" spans="1:4">
      <c r="A1280">
        <v>1.0951519999999999</v>
      </c>
      <c r="B1280">
        <v>3.7372559999999999</v>
      </c>
      <c r="C1280">
        <f>LOG10(1.095152)</f>
        <v>3.9474400619028079E-2</v>
      </c>
      <c r="D1280">
        <f>LOG10(3.737256)</f>
        <v>0.57255284780399041</v>
      </c>
    </row>
    <row r="1281" spans="1:4">
      <c r="A1281">
        <v>1.098152</v>
      </c>
      <c r="B1281">
        <v>3.6135549999999999</v>
      </c>
      <c r="C1281">
        <f>LOG10(1.098152)</f>
        <v>4.0662456864967132E-2</v>
      </c>
      <c r="D1281">
        <f>LOG10(3.613555)</f>
        <v>0.55793466926980551</v>
      </c>
    </row>
    <row r="1282" spans="1:4">
      <c r="A1282">
        <v>1.0851869999999999</v>
      </c>
      <c r="B1282">
        <v>3.65625</v>
      </c>
      <c r="C1282">
        <f>LOG10(1.085187)</f>
        <v>3.5504582489040842E-2</v>
      </c>
      <c r="D1282">
        <f>LOG10(3.65625)</f>
        <v>0.56303588342625566</v>
      </c>
    </row>
    <row r="1283" spans="1:4">
      <c r="A1283">
        <v>1.0944510000000001</v>
      </c>
      <c r="B1283">
        <v>3.6293829999999998</v>
      </c>
      <c r="C1283">
        <f>LOG10(1.094451)</f>
        <v>3.9196322408306429E-2</v>
      </c>
      <c r="D1283">
        <f>LOG10(3.629383)</f>
        <v>0.55983280066399177</v>
      </c>
    </row>
    <row r="1284" spans="1:4">
      <c r="A1284">
        <v>1.0950439999999999</v>
      </c>
      <c r="B1284">
        <v>3.7637330000000002</v>
      </c>
      <c r="C1284">
        <f>LOG10(1.095044)</f>
        <v>3.9431569927999913E-2</v>
      </c>
      <c r="D1284">
        <f>LOG10(3.763733)</f>
        <v>0.57561880690730105</v>
      </c>
    </row>
    <row r="1285" spans="1:4">
      <c r="A1285">
        <v>1.107143</v>
      </c>
      <c r="B1285">
        <v>3.7833679999999998</v>
      </c>
      <c r="C1285">
        <f>LOG10(1.107143)</f>
        <v>4.4203718530047502E-2</v>
      </c>
      <c r="D1285">
        <f>LOG10(3.783368)</f>
        <v>0.57787858622967192</v>
      </c>
    </row>
    <row r="1286" spans="1:4">
      <c r="A1286">
        <v>1.112133</v>
      </c>
      <c r="B1286">
        <v>3.786511</v>
      </c>
      <c r="C1286">
        <f>LOG10(1.112133)</f>
        <v>4.6156727634641327E-2</v>
      </c>
      <c r="D1286">
        <f>LOG10(3.786511)</f>
        <v>0.57823922280921525</v>
      </c>
    </row>
    <row r="1287" spans="1:4">
      <c r="A1287">
        <v>1.122493</v>
      </c>
      <c r="B1287">
        <v>3.6652239999999998</v>
      </c>
      <c r="C1287">
        <f>LOG10(1.122493)</f>
        <v>5.0183641371706077E-2</v>
      </c>
      <c r="D1287">
        <f>LOG10(3.665224)</f>
        <v>0.56410052167597191</v>
      </c>
    </row>
    <row r="1288" spans="1:4">
      <c r="A1288">
        <v>1.1264700000000001</v>
      </c>
      <c r="B1288">
        <v>3.3408000000000002</v>
      </c>
      <c r="C1288">
        <f>LOG10(1.12647)</f>
        <v>5.1719630140678201E-2</v>
      </c>
      <c r="D1288">
        <f>LOG10(3.3408)</f>
        <v>0.52385047698614939</v>
      </c>
    </row>
    <row r="1289" spans="1:4">
      <c r="A1289">
        <v>1.009951</v>
      </c>
      <c r="B1289">
        <v>8.9294969999999996</v>
      </c>
      <c r="C1289">
        <f>LOG10(1.009951)</f>
        <v>4.3003035392382392E-3</v>
      </c>
      <c r="D1289">
        <f>LOG10(8.929497)</f>
        <v>0.95082699569963858</v>
      </c>
    </row>
    <row r="1290" spans="1:4">
      <c r="A1290">
        <v>1.010402</v>
      </c>
      <c r="B1290">
        <v>9.2215380000000007</v>
      </c>
      <c r="C1290">
        <f>LOG10(1.010402)</f>
        <v>4.4941971950417181E-3</v>
      </c>
      <c r="D1290">
        <f>LOG10(9.221538)</f>
        <v>0.96480336023030933</v>
      </c>
    </row>
    <row r="1291" spans="1:4">
      <c r="A1291">
        <v>1.0074590000000001</v>
      </c>
      <c r="B1291">
        <v>7.4575189999999996</v>
      </c>
      <c r="C1291">
        <f>LOG10(1.007459)</f>
        <v>3.2273809311867351E-3</v>
      </c>
      <c r="D1291">
        <f>LOG10(7.457519)</f>
        <v>0.87259436851544725</v>
      </c>
    </row>
    <row r="1292" spans="1:4">
      <c r="A1292">
        <v>1.0099050000000001</v>
      </c>
      <c r="B1292">
        <v>7.3725719999999999</v>
      </c>
      <c r="C1292">
        <f>LOG10(1.009905)</f>
        <v>4.2805223804120666E-3</v>
      </c>
      <c r="D1292">
        <f>LOG10(7.372572)</f>
        <v>0.86761902253275536</v>
      </c>
    </row>
    <row r="1293" spans="1:4">
      <c r="A1293">
        <v>1.0097039999999999</v>
      </c>
      <c r="B1293">
        <v>7.496613</v>
      </c>
      <c r="C1293">
        <f>LOG10(1.009704)</f>
        <v>4.1940767454888509E-3</v>
      </c>
      <c r="D1293">
        <f>LOG10(7.496613)</f>
        <v>0.87486509170477089</v>
      </c>
    </row>
    <row r="1294" spans="1:4">
      <c r="A1294">
        <v>1.008821</v>
      </c>
      <c r="B1294">
        <v>8.2723460000000006</v>
      </c>
      <c r="C1294">
        <f>LOG10(1.008821)</f>
        <v>3.814114097533823E-3</v>
      </c>
      <c r="D1294">
        <f>LOG10(8.272346)</f>
        <v>0.91762869097571065</v>
      </c>
    </row>
    <row r="1295" spans="1:4">
      <c r="A1295">
        <v>1.009954</v>
      </c>
      <c r="B1295">
        <v>8.6747219999999992</v>
      </c>
      <c r="C1295">
        <f>LOG10(1.009954)</f>
        <v>4.3015935835182427E-3</v>
      </c>
      <c r="D1295">
        <f>LOG10(8.674722)</f>
        <v>0.93825556579137981</v>
      </c>
    </row>
    <row r="1296" spans="1:4">
      <c r="A1296">
        <v>1.0064709999999999</v>
      </c>
      <c r="B1296">
        <v>9.2436450000000008</v>
      </c>
      <c r="C1296">
        <f>LOG10(1.006471)</f>
        <v>2.8012658402518701E-3</v>
      </c>
      <c r="D1296">
        <f>LOG10(9.243645)</f>
        <v>0.96584325815047756</v>
      </c>
    </row>
    <row r="1297" spans="1:4">
      <c r="A1297">
        <v>1.0077259999999999</v>
      </c>
      <c r="B1297">
        <v>8.7367699999999999</v>
      </c>
      <c r="C1297">
        <f>LOG10(1.007726)</f>
        <v>3.3424637919132749E-3</v>
      </c>
      <c r="D1297">
        <f>LOG10(8.73677)</f>
        <v>0.94135090283484402</v>
      </c>
    </row>
    <row r="1298" spans="1:4">
      <c r="A1298">
        <v>1.0085150000000001</v>
      </c>
      <c r="B1298">
        <v>8.4536650000000009</v>
      </c>
      <c r="C1298">
        <f>LOG10(1.008515)</f>
        <v>3.6823620121285302E-3</v>
      </c>
      <c r="D1298">
        <f>LOG10(8.453665)</f>
        <v>0.92704503370661551</v>
      </c>
    </row>
    <row r="1299" spans="1:4">
      <c r="A1299">
        <v>1.008497</v>
      </c>
      <c r="B1299">
        <v>7.4771910000000004</v>
      </c>
      <c r="C1299">
        <f>LOG10(1.008497)</f>
        <v>3.6746106445863461E-3</v>
      </c>
      <c r="D1299">
        <f>LOG10(7.477191)</f>
        <v>0.87373847455955622</v>
      </c>
    </row>
    <row r="1300" spans="1:4">
      <c r="A1300">
        <v>1.0066980000000001</v>
      </c>
      <c r="B1300">
        <v>8.3386150000000008</v>
      </c>
      <c r="C1300">
        <f>LOG10(1.006698)</f>
        <v>2.8992058023811656E-3</v>
      </c>
      <c r="D1300">
        <f>LOG10(8.338615)</f>
        <v>0.92109392260326839</v>
      </c>
    </row>
    <row r="1301" spans="1:4">
      <c r="A1301">
        <v>1.0066919999999999</v>
      </c>
      <c r="B1301">
        <v>7.7698830000000001</v>
      </c>
      <c r="C1301">
        <f>LOG10(1.006692)</f>
        <v>2.8966173650774121E-3</v>
      </c>
      <c r="D1301">
        <f>LOG10(7.769883)</f>
        <v>0.89041447918225902</v>
      </c>
    </row>
    <row r="1302" spans="1:4">
      <c r="A1302">
        <v>1.0107250000000001</v>
      </c>
      <c r="B1302">
        <v>7.3859649999999997</v>
      </c>
      <c r="C1302">
        <f>LOG10(1.010725)</f>
        <v>4.6330079860993799E-3</v>
      </c>
      <c r="D1302">
        <f>LOG10(7.385965)</f>
        <v>0.86840724532106861</v>
      </c>
    </row>
    <row r="1303" spans="1:4">
      <c r="A1303">
        <v>1.0118240000000001</v>
      </c>
      <c r="B1303">
        <v>7.4225919999999999</v>
      </c>
      <c r="C1303">
        <f>LOG10(1.011824)</f>
        <v>5.1049764601246994E-3</v>
      </c>
      <c r="D1303">
        <f>LOG10(7.422592)</f>
        <v>0.8705555892043868</v>
      </c>
    </row>
    <row r="1304" spans="1:4">
      <c r="A1304">
        <v>1.009978</v>
      </c>
      <c r="B1304">
        <v>7.8629730000000002</v>
      </c>
      <c r="C1304">
        <f>LOG10(1.009978)</f>
        <v>4.311913799808869E-3</v>
      </c>
      <c r="D1304">
        <f>LOG10(7.862973)</f>
        <v>0.89558678438162043</v>
      </c>
    </row>
    <row r="1305" spans="1:4">
      <c r="A1305">
        <v>1.0088429999999999</v>
      </c>
      <c r="B1305">
        <v>7.0684800000000001</v>
      </c>
      <c r="C1305">
        <f>LOG10(1.008843)</f>
        <v>3.8235849297459613E-3</v>
      </c>
      <c r="D1305">
        <f>LOG10(7.06848)</f>
        <v>0.84932603351627012</v>
      </c>
    </row>
    <row r="1306" spans="1:4">
      <c r="A1306">
        <v>1.009914</v>
      </c>
      <c r="B1306">
        <v>7.6558599999999997</v>
      </c>
      <c r="C1306">
        <f>LOG10(1.009914)</f>
        <v>4.2843926780348962E-3</v>
      </c>
      <c r="D1306">
        <f>LOG10(7.65586)</f>
        <v>0.88399398305204357</v>
      </c>
    </row>
    <row r="1307" spans="1:4">
      <c r="A1307">
        <v>1.010928</v>
      </c>
      <c r="B1307">
        <v>6.6967689999999997</v>
      </c>
      <c r="C1307">
        <f>LOG10(1.010928)</f>
        <v>4.7202255057455745E-3</v>
      </c>
      <c r="D1307">
        <f>LOG10(6.696769)</f>
        <v>0.82586531853367595</v>
      </c>
    </row>
    <row r="1308" spans="1:4">
      <c r="A1308">
        <v>1.0110790000000001</v>
      </c>
      <c r="B1308">
        <v>6.7826409999999999</v>
      </c>
      <c r="C1308">
        <f>LOG10(1.011079)</f>
        <v>4.7850902336019109E-3</v>
      </c>
      <c r="D1308">
        <f>LOG10(6.782641)</f>
        <v>0.83139883079860988</v>
      </c>
    </row>
    <row r="1309" spans="1:4">
      <c r="A1309">
        <v>1.0107459999999999</v>
      </c>
      <c r="B1309">
        <v>6.6860499999999998</v>
      </c>
      <c r="C1309">
        <f>LOG10(1.010746)</f>
        <v>4.6420313004286199E-3</v>
      </c>
      <c r="D1309">
        <f>LOG10(6.68605)</f>
        <v>0.82516962003442895</v>
      </c>
    </row>
    <row r="1310" spans="1:4">
      <c r="A1310">
        <v>1.0094890000000001</v>
      </c>
      <c r="B1310">
        <v>6.701695</v>
      </c>
      <c r="C1310">
        <f>LOG10(1.009489)</f>
        <v>4.1015909712592332E-3</v>
      </c>
      <c r="D1310">
        <f>LOG10(6.701695)</f>
        <v>0.82618465882734637</v>
      </c>
    </row>
    <row r="1311" spans="1:4">
      <c r="A1311">
        <v>1.0069650000000001</v>
      </c>
      <c r="B1311">
        <v>6.8270710000000001</v>
      </c>
      <c r="C1311">
        <f>LOG10(1.006965)</f>
        <v>3.0143756469358193E-3</v>
      </c>
      <c r="D1311">
        <f>LOG10(6.827071)</f>
        <v>0.83423441943991183</v>
      </c>
    </row>
    <row r="1312" spans="1:4">
      <c r="A1312">
        <v>1.0106269999999999</v>
      </c>
      <c r="B1312">
        <v>6.7334139999999998</v>
      </c>
      <c r="C1312">
        <f>LOG10(1.010627)</f>
        <v>4.5908967068566432E-3</v>
      </c>
      <c r="D1312">
        <f>LOG10(6.733414)</f>
        <v>0.82823531762968761</v>
      </c>
    </row>
    <row r="1313" spans="1:4">
      <c r="A1313">
        <v>1.009927</v>
      </c>
      <c r="B1313">
        <v>6.6911259999999997</v>
      </c>
      <c r="C1313">
        <f>LOG10(1.009927)</f>
        <v>4.2899830470439796E-3</v>
      </c>
      <c r="D1313">
        <f>LOG10(6.691126)</f>
        <v>0.8254992081172865</v>
      </c>
    </row>
    <row r="1314" spans="1:4">
      <c r="A1314">
        <v>1.011916</v>
      </c>
      <c r="B1314">
        <v>6.9005280000000004</v>
      </c>
      <c r="C1314">
        <f>LOG10(1.011916)</f>
        <v>5.1444628490507627E-3</v>
      </c>
      <c r="D1314">
        <f>LOG10(6.900528)</f>
        <v>0.83888232243484795</v>
      </c>
    </row>
    <row r="1315" spans="1:4">
      <c r="A1315">
        <v>1.0092429999999999</v>
      </c>
      <c r="B1315">
        <v>6.536727</v>
      </c>
      <c r="C1315">
        <f>LOG10(1.009243)</f>
        <v>3.9957458733689668E-3</v>
      </c>
      <c r="D1315">
        <f>LOG10(6.536727)</f>
        <v>0.81536034746104635</v>
      </c>
    </row>
    <row r="1316" spans="1:4">
      <c r="A1316">
        <v>1.013781</v>
      </c>
      <c r="B1316">
        <v>6.4186480000000001</v>
      </c>
      <c r="C1316">
        <f>LOG10(1.013781)</f>
        <v>5.9441475379252724E-3</v>
      </c>
      <c r="D1316">
        <f>LOG10(6.418648)</f>
        <v>0.80744355953701041</v>
      </c>
    </row>
    <row r="1317" spans="1:4">
      <c r="A1317">
        <v>1.011817</v>
      </c>
      <c r="B1317">
        <v>6.1835050000000003</v>
      </c>
      <c r="C1317">
        <f>LOG10(1.011817)</f>
        <v>5.101971913988923E-3</v>
      </c>
      <c r="D1317">
        <f>LOG10(6.183505)</f>
        <v>0.79123471629628095</v>
      </c>
    </row>
    <row r="1318" spans="1:4">
      <c r="A1318">
        <v>1.0129490000000001</v>
      </c>
      <c r="B1318">
        <v>6.8514160000000004</v>
      </c>
      <c r="C1318">
        <f>LOG10(1.012949)</f>
        <v>5.5875800333825632E-3</v>
      </c>
      <c r="D1318">
        <f>LOG10(6.851416)</f>
        <v>0.83578033754121417</v>
      </c>
    </row>
    <row r="1319" spans="1:4">
      <c r="A1319">
        <v>1.010785</v>
      </c>
      <c r="B1319">
        <v>6.7334579999999997</v>
      </c>
      <c r="C1319">
        <f>LOG10(1.010785)</f>
        <v>4.658788386811546E-3</v>
      </c>
      <c r="D1319">
        <f>LOG10(6.733458)</f>
        <v>0.82823815555035751</v>
      </c>
    </row>
    <row r="1320" spans="1:4">
      <c r="A1320">
        <v>1.0089999999999999</v>
      </c>
      <c r="B1320">
        <v>7.2826630000000003</v>
      </c>
      <c r="C1320">
        <f>LOG10(1.009)</f>
        <v>3.8911662369104775E-3</v>
      </c>
      <c r="D1320">
        <f>LOG10(7.282663)</f>
        <v>0.86229021375399073</v>
      </c>
    </row>
    <row r="1321" spans="1:4">
      <c r="A1321">
        <v>1.006181</v>
      </c>
      <c r="B1321">
        <v>7.0952419999999998</v>
      </c>
      <c r="C1321">
        <f>LOG10(1.006181)</f>
        <v>2.6761121617982623E-3</v>
      </c>
      <c r="D1321">
        <f>LOG10(7.095242)</f>
        <v>0.8509672126859904</v>
      </c>
    </row>
    <row r="1322" spans="1:4">
      <c r="A1322">
        <v>1.0131330000000001</v>
      </c>
      <c r="B1322">
        <v>7.7142920000000004</v>
      </c>
      <c r="C1322">
        <f>LOG10(1.013133)</f>
        <v>5.6664615247435926E-3</v>
      </c>
      <c r="D1322">
        <f>LOG10(7.714292)</f>
        <v>0.88729607367814534</v>
      </c>
    </row>
    <row r="1323" spans="1:4">
      <c r="A1323">
        <v>1.012526</v>
      </c>
      <c r="B1323">
        <v>7.4175360000000001</v>
      </c>
      <c r="C1323">
        <f>LOG10(1.012526)</f>
        <v>5.406183996881659E-3</v>
      </c>
      <c r="D1323">
        <f>LOG10(7.417536)</f>
        <v>0.87025966278306999</v>
      </c>
    </row>
    <row r="1324" spans="1:4">
      <c r="A1324">
        <v>1.010378</v>
      </c>
      <c r="B1324">
        <v>8.2080090000000006</v>
      </c>
      <c r="C1324">
        <f>LOG10(1.010378)</f>
        <v>4.4838813095260475E-3</v>
      </c>
      <c r="D1324">
        <f>LOG10(8.208009)</f>
        <v>0.91423782396756981</v>
      </c>
    </row>
    <row r="1325" spans="1:4">
      <c r="A1325">
        <v>1.0146539999999999</v>
      </c>
      <c r="B1325">
        <v>7.8336880000000004</v>
      </c>
      <c r="C1325">
        <f>LOG10(1.014654)</f>
        <v>6.31797179762355E-3</v>
      </c>
      <c r="D1325">
        <f>LOG10(7.833688)</f>
        <v>0.89396627048263322</v>
      </c>
    </row>
    <row r="1326" spans="1:4">
      <c r="A1326">
        <v>1.0169349999999999</v>
      </c>
      <c r="B1326">
        <v>8.1824309999999993</v>
      </c>
      <c r="C1326">
        <f>LOG10(1.016935)</f>
        <v>7.2931947679035084E-3</v>
      </c>
      <c r="D1326">
        <f>LOG10(8.182431)</f>
        <v>0.91288235171965704</v>
      </c>
    </row>
    <row r="1327" spans="1:4">
      <c r="A1327">
        <v>1.012602</v>
      </c>
      <c r="B1327">
        <v>8.6901150000000005</v>
      </c>
      <c r="C1327">
        <f>LOG10(1.012602)</f>
        <v>5.4387808308991896E-3</v>
      </c>
      <c r="D1327">
        <f>LOG10(8.690115)</f>
        <v>0.93902552369089354</v>
      </c>
    </row>
    <row r="1328" spans="1:4">
      <c r="A1328">
        <v>1.0137480000000001</v>
      </c>
      <c r="B1328">
        <v>8.8184000000000005</v>
      </c>
      <c r="C1328">
        <f>LOG10(1.013748)</f>
        <v>5.9300104105115079E-3</v>
      </c>
      <c r="D1328">
        <f>LOG10(8.8184)</f>
        <v>0.94538979440556892</v>
      </c>
    </row>
    <row r="1329" spans="1:4">
      <c r="A1329">
        <v>1.0084519999999999</v>
      </c>
      <c r="B1329">
        <v>8.5562290000000001</v>
      </c>
      <c r="C1329">
        <f>LOG10(1.008452)</f>
        <v>3.6552316204375743E-3</v>
      </c>
      <c r="D1329">
        <f>LOG10(8.556229)</f>
        <v>0.93228239956772929</v>
      </c>
    </row>
    <row r="1330" spans="1:4">
      <c r="A1330">
        <v>1.012715</v>
      </c>
      <c r="B1330">
        <v>9.2803620000000002</v>
      </c>
      <c r="C1330">
        <f>LOG10(1.012715)</f>
        <v>5.4872426534247534E-3</v>
      </c>
      <c r="D1330">
        <f>LOG10(9.280362)</f>
        <v>0.96756491711715586</v>
      </c>
    </row>
    <row r="1331" spans="1:4">
      <c r="A1331">
        <v>1.011792</v>
      </c>
      <c r="B1331">
        <v>9.4643719999999991</v>
      </c>
      <c r="C1331">
        <f>LOG10(1.011792)</f>
        <v>5.0912412223897974E-3</v>
      </c>
      <c r="D1331">
        <f>LOG10(9.464372)</f>
        <v>0.97609180203113688</v>
      </c>
    </row>
    <row r="1332" spans="1:4">
      <c r="A1332">
        <v>1.011927</v>
      </c>
      <c r="B1332">
        <v>9.3291609999999991</v>
      </c>
      <c r="C1332">
        <f>LOG10(1.011927)</f>
        <v>5.1491838074462261E-3</v>
      </c>
      <c r="D1332">
        <f>LOG10(9.329161)</f>
        <v>0.96984258807078516</v>
      </c>
    </row>
    <row r="1333" spans="1:4">
      <c r="A1333">
        <v>1.0122580000000001</v>
      </c>
      <c r="B1333">
        <v>9.5355500000000006</v>
      </c>
      <c r="C1333">
        <f>LOG10(1.012258)</f>
        <v>5.2912177369450614E-3</v>
      </c>
      <c r="D1333">
        <f>LOG10(9.53555)</f>
        <v>0.97934574773087257</v>
      </c>
    </row>
    <row r="1334" spans="1:4">
      <c r="A1334">
        <v>1.1146229999999999</v>
      </c>
      <c r="B1334">
        <v>9.2677019999999999</v>
      </c>
      <c r="C1334">
        <f>LOG10(1.114623)</f>
        <v>4.7128000383580795E-2</v>
      </c>
      <c r="D1334">
        <f>LOG10(9.267702)</f>
        <v>0.96697206074198738</v>
      </c>
    </row>
    <row r="1335" spans="1:4">
      <c r="A1335">
        <v>1.0132749999999999</v>
      </c>
      <c r="B1335">
        <v>8.3016290000000001</v>
      </c>
      <c r="C1335">
        <f>LOG10(1.013275)</f>
        <v>5.7273276647619355E-3</v>
      </c>
      <c r="D1335">
        <f>LOG10(8.301629)</f>
        <v>0.91916332084531516</v>
      </c>
    </row>
    <row r="1336" spans="1:4">
      <c r="A1336">
        <v>1.0137389999999999</v>
      </c>
      <c r="B1336">
        <v>9.4030269999999998</v>
      </c>
      <c r="C1336">
        <f>LOG10(1.013739)</f>
        <v>5.9261547504385025E-3</v>
      </c>
      <c r="D1336">
        <f>LOG10(9.403027)</f>
        <v>0.97326768315034251</v>
      </c>
    </row>
    <row r="1337" spans="1:4">
      <c r="A1337">
        <v>1.126681</v>
      </c>
      <c r="B1337">
        <v>3.6905480000000002</v>
      </c>
      <c r="C1337">
        <f>LOG10(1.126681)</f>
        <v>5.1800970570990632E-2</v>
      </c>
      <c r="D1337">
        <f>LOG10(3.690548)</f>
        <v>0.56709085822022454</v>
      </c>
    </row>
    <row r="1338" spans="1:4">
      <c r="A1338">
        <v>1.1213960000000001</v>
      </c>
      <c r="B1338">
        <v>3.871318</v>
      </c>
      <c r="C1338">
        <f>LOG10(1.121396)</f>
        <v>4.9759002644385951E-2</v>
      </c>
      <c r="D1338">
        <f>LOG10(3.871318)</f>
        <v>0.58785884684799505</v>
      </c>
    </row>
    <row r="1339" spans="1:4">
      <c r="A1339">
        <v>1.1079110000000001</v>
      </c>
      <c r="B1339">
        <v>3.7804730000000002</v>
      </c>
      <c r="C1339">
        <f>LOG10(1.107911)</f>
        <v>4.4504874326219537E-2</v>
      </c>
      <c r="D1339">
        <f>LOG10(3.780473)</f>
        <v>0.57754614069399668</v>
      </c>
    </row>
    <row r="1340" spans="1:4">
      <c r="A1340">
        <v>1.1145670000000001</v>
      </c>
      <c r="B1340">
        <v>3.4191940000000001</v>
      </c>
      <c r="C1340">
        <f>LOG10(1.114567)</f>
        <v>4.710618035837736E-2</v>
      </c>
      <c r="D1340">
        <f>LOG10(3.419194)</f>
        <v>0.53392374272091325</v>
      </c>
    </row>
    <row r="1341" spans="1:4">
      <c r="A1341">
        <v>1.096384</v>
      </c>
      <c r="B1341">
        <v>3.6825770000000002</v>
      </c>
      <c r="C1341">
        <f>LOG10(1.096384)</f>
        <v>3.9962689068835315E-2</v>
      </c>
      <c r="D1341">
        <f>LOG10(3.682577)</f>
        <v>0.56615183639056643</v>
      </c>
    </row>
    <row r="1342" spans="1:4">
      <c r="A1342">
        <v>1.1292979999999999</v>
      </c>
      <c r="B1342">
        <v>3.6265770000000002</v>
      </c>
      <c r="C1342">
        <f>LOG10(1.129298)</f>
        <v>5.2808559000622465E-2</v>
      </c>
      <c r="D1342">
        <f>LOG10(3.626577)</f>
        <v>0.55949690289802578</v>
      </c>
    </row>
    <row r="1343" spans="1:4">
      <c r="A1343">
        <v>1.108965</v>
      </c>
      <c r="B1343">
        <v>3.7104650000000001</v>
      </c>
      <c r="C1343">
        <f>LOG10(1.108965)</f>
        <v>4.4917839614685547E-2</v>
      </c>
      <c r="D1343">
        <f>LOG10(3.710465)</f>
        <v>0.56942833933996184</v>
      </c>
    </row>
    <row r="1344" spans="1:4">
      <c r="A1344">
        <v>1.107899</v>
      </c>
      <c r="B1344">
        <v>3.7382019999999998</v>
      </c>
      <c r="C1344">
        <f>LOG10(1.107899)</f>
        <v>4.4500170372556595E-2</v>
      </c>
      <c r="D1344">
        <f>LOG10(3.738202)</f>
        <v>0.57266276550590878</v>
      </c>
    </row>
    <row r="1345" spans="1:4">
      <c r="A1345">
        <v>1.0981050000000001</v>
      </c>
      <c r="B1345">
        <v>3.7095590000000001</v>
      </c>
      <c r="C1345">
        <f>LOG10(1.098105)</f>
        <v>4.0643869021511167E-2</v>
      </c>
      <c r="D1345">
        <f>LOG10(3.709559)</f>
        <v>0.56932228286290476</v>
      </c>
    </row>
    <row r="1346" spans="1:4">
      <c r="A1346">
        <v>1.0940719999999999</v>
      </c>
      <c r="B1346">
        <v>3.728348</v>
      </c>
      <c r="C1346">
        <f>LOG10(1.094072)</f>
        <v>3.9045903509088264E-2</v>
      </c>
      <c r="D1346">
        <f>LOG10(3.728348)</f>
        <v>0.57151644215461483</v>
      </c>
    </row>
    <row r="1347" spans="1:4">
      <c r="A1347">
        <v>1.0678449999999999</v>
      </c>
      <c r="B1347">
        <v>3.620927</v>
      </c>
      <c r="C1347">
        <f>LOG10(1.067845)</f>
        <v>2.8508218488451448E-2</v>
      </c>
      <c r="D1347">
        <f>LOG10(3.620927)</f>
        <v>0.55881976927523946</v>
      </c>
    </row>
    <row r="1348" spans="1:4">
      <c r="A1348">
        <v>1.0802309999999999</v>
      </c>
      <c r="B1348">
        <v>3.6862729999999999</v>
      </c>
      <c r="C1348">
        <f>LOG10(1.080231)</f>
        <v>3.3516636318399677E-2</v>
      </c>
      <c r="D1348">
        <f>LOG10(3.686273)</f>
        <v>0.56658749528977559</v>
      </c>
    </row>
    <row r="1349" spans="1:4">
      <c r="A1349">
        <v>1.0843020000000001</v>
      </c>
      <c r="B1349">
        <v>3.6867830000000001</v>
      </c>
      <c r="C1349">
        <f>LOG10(1.084302)</f>
        <v>3.5150258832360545E-2</v>
      </c>
      <c r="D1349">
        <f>LOG10(3.686783)</f>
        <v>0.56664757626193263</v>
      </c>
    </row>
    <row r="1350" spans="1:4">
      <c r="A1350">
        <v>1.0828899999999999</v>
      </c>
      <c r="B1350">
        <v>3.6524130000000001</v>
      </c>
      <c r="C1350">
        <f>LOG10(1.08289)</f>
        <v>3.458434321877573E-2</v>
      </c>
      <c r="D1350">
        <f>LOG10(3.652413)</f>
        <v>0.5625798798917766</v>
      </c>
    </row>
    <row r="1351" spans="1:4">
      <c r="A1351">
        <v>1.0832219999999999</v>
      </c>
      <c r="B1351">
        <v>3.6580379999999999</v>
      </c>
      <c r="C1351">
        <f>LOG10(1.083222)</f>
        <v>3.4717471855818451E-2</v>
      </c>
      <c r="D1351">
        <f>LOG10(3.658038)</f>
        <v>0.56324821265067515</v>
      </c>
    </row>
    <row r="1352" spans="1:4">
      <c r="A1352">
        <v>1.0734030000000001</v>
      </c>
      <c r="B1352">
        <v>3.7330380000000001</v>
      </c>
      <c r="C1352">
        <f>LOG10(1.073403)</f>
        <v>3.076280474049406E-2</v>
      </c>
      <c r="D1352">
        <f>LOG10(3.733038)</f>
        <v>0.57206241079593112</v>
      </c>
    </row>
    <row r="1353" spans="1:4">
      <c r="A1353">
        <v>1.07857</v>
      </c>
      <c r="B1353">
        <v>3.609362</v>
      </c>
      <c r="C1353">
        <f>LOG10(1.07857)</f>
        <v>3.2848336390071134E-2</v>
      </c>
      <c r="D1353">
        <f>LOG10(3.609362)</f>
        <v>0.55743044169328027</v>
      </c>
    </row>
    <row r="1354" spans="1:4">
      <c r="A1354">
        <v>1.1160870000000001</v>
      </c>
      <c r="B1354">
        <v>3.7386050000000002</v>
      </c>
      <c r="C1354">
        <f>LOG10(1.116087)</f>
        <v>4.7698049572217217E-2</v>
      </c>
      <c r="D1354">
        <f>LOG10(3.738605)</f>
        <v>0.57270958246303405</v>
      </c>
    </row>
    <row r="1355" spans="1:4">
      <c r="A1355">
        <v>1.4462109999999999</v>
      </c>
      <c r="B1355">
        <v>3.2000980000000001</v>
      </c>
      <c r="C1355">
        <f>LOG10(1.446211)</f>
        <v>0.16023166049002624</v>
      </c>
      <c r="D1355">
        <f>LOG10(3.200098)</f>
        <v>0.50516327838475805</v>
      </c>
    </row>
    <row r="1356" spans="1:4">
      <c r="A1356">
        <v>1.1095710000000001</v>
      </c>
      <c r="B1356">
        <v>3.0617589999999999</v>
      </c>
      <c r="C1356">
        <f>LOG10(1.109571)</f>
        <v>4.5155097394211322E-2</v>
      </c>
      <c r="D1356">
        <f>LOG10(3.061759)</f>
        <v>0.48597100311950103</v>
      </c>
    </row>
    <row r="1357" spans="1:4">
      <c r="A1357">
        <v>1.0664279999999999</v>
      </c>
      <c r="B1357">
        <v>3.336751</v>
      </c>
      <c r="C1357">
        <f>LOG10(1.066428)</f>
        <v>2.7931539337022714E-2</v>
      </c>
      <c r="D1357">
        <f>LOG10(3.336751)</f>
        <v>0.52332379929466077</v>
      </c>
    </row>
    <row r="1358" spans="1:4">
      <c r="A1358">
        <v>1.083296</v>
      </c>
      <c r="B1358">
        <v>3.358565</v>
      </c>
      <c r="C1358">
        <f>LOG10(1.083296)</f>
        <v>3.4747139545330742E-2</v>
      </c>
      <c r="D1358">
        <f>LOG10(3.358565)</f>
        <v>0.52615375783588925</v>
      </c>
    </row>
    <row r="1359" spans="1:4">
      <c r="A1359">
        <v>1.0827310000000001</v>
      </c>
      <c r="B1359">
        <v>3.3397770000000002</v>
      </c>
      <c r="C1359">
        <f>LOG10(1.082731)</f>
        <v>3.4520571374351793E-2</v>
      </c>
      <c r="D1359">
        <f>LOG10(3.339777)</f>
        <v>0.52371746953530796</v>
      </c>
    </row>
    <row r="1360" spans="1:4">
      <c r="A1360">
        <v>1.079798</v>
      </c>
      <c r="B1360">
        <v>3.3877709999999999</v>
      </c>
      <c r="C1360">
        <f>LOG10(1.079798)</f>
        <v>3.3342518736475597E-2</v>
      </c>
      <c r="D1360">
        <f>LOG10(3.387771)</f>
        <v>0.52991404605134618</v>
      </c>
    </row>
    <row r="1361" spans="1:4">
      <c r="A1361">
        <v>1.0785499999999999</v>
      </c>
      <c r="B1361">
        <v>3.403651</v>
      </c>
      <c r="C1361">
        <f>LOG10(1.07855)</f>
        <v>3.2840283162027847E-2</v>
      </c>
      <c r="D1361">
        <f>LOG10(3.403651)</f>
        <v>0.53194502246289732</v>
      </c>
    </row>
    <row r="1362" spans="1:4">
      <c r="A1362">
        <v>1.0466279999999999</v>
      </c>
      <c r="B1362">
        <v>3.4396260000000001</v>
      </c>
      <c r="C1362">
        <f>LOG10(1.046628)</f>
        <v>1.9792349057222609E-2</v>
      </c>
      <c r="D1362">
        <f>LOG10(3.439626)</f>
        <v>0.53651122310454402</v>
      </c>
    </row>
    <row r="1363" spans="1:4">
      <c r="A1363">
        <v>1.0376300000000001</v>
      </c>
      <c r="B1363">
        <v>3.5178150000000001</v>
      </c>
      <c r="C1363">
        <f>LOG10(1.03763)</f>
        <v>1.6042519596947157E-2</v>
      </c>
      <c r="D1363">
        <f>LOG10(3.517815)</f>
        <v>0.54627299640860805</v>
      </c>
    </row>
    <row r="1364" spans="1:4">
      <c r="A1364">
        <v>1.0738989999999999</v>
      </c>
      <c r="B1364">
        <v>3.6652619999999998</v>
      </c>
      <c r="C1364">
        <f>LOG10(1.073899)</f>
        <v>3.0963437969406458E-2</v>
      </c>
      <c r="D1364">
        <f>LOG10(3.665262)</f>
        <v>0.56410502429430098</v>
      </c>
    </row>
    <row r="1365" spans="1:4">
      <c r="A1365">
        <v>1.083688</v>
      </c>
      <c r="B1365">
        <v>3.648685</v>
      </c>
      <c r="C1365">
        <f>LOG10(1.083688)</f>
        <v>3.4904264322221608E-2</v>
      </c>
      <c r="D1365">
        <f>LOG10(3.648685)</f>
        <v>0.56213637126629534</v>
      </c>
    </row>
    <row r="1366" spans="1:4">
      <c r="A1366">
        <v>1.0899300000000001</v>
      </c>
      <c r="B1366">
        <v>3.7327499999999998</v>
      </c>
      <c r="C1366">
        <f>LOG10(1.08993)</f>
        <v>3.7398606573704835E-2</v>
      </c>
      <c r="D1366">
        <f>LOG10(3.73275)</f>
        <v>0.57202890413572316</v>
      </c>
    </row>
    <row r="1367" spans="1:4">
      <c r="A1367">
        <v>1.094373</v>
      </c>
      <c r="B1367">
        <v>3.5820310000000002</v>
      </c>
      <c r="C1367">
        <f>LOG10(1.094373)</f>
        <v>3.9165369741849192E-2</v>
      </c>
      <c r="D1367">
        <f>LOG10(3.582031)</f>
        <v>0.55412934004754144</v>
      </c>
    </row>
    <row r="1368" spans="1:4">
      <c r="A1368">
        <v>1.097545</v>
      </c>
      <c r="B1368">
        <v>3.5900289999999999</v>
      </c>
      <c r="C1368">
        <f>LOG10(1.097545)</f>
        <v>4.0422335612143194E-2</v>
      </c>
      <c r="D1368">
        <f>LOG10(3.590029)</f>
        <v>0.5550979567925548</v>
      </c>
    </row>
    <row r="1369" spans="1:4">
      <c r="A1369">
        <v>1.090776</v>
      </c>
      <c r="B1369">
        <v>3.4569369999999999</v>
      </c>
      <c r="C1369">
        <f>LOG10(1.090776)</f>
        <v>3.7735573730325149E-2</v>
      </c>
      <c r="D1369">
        <f>LOG10(3.456937)</f>
        <v>0.53869146493388187</v>
      </c>
    </row>
    <row r="1370" spans="1:4">
      <c r="A1370">
        <v>1.094017</v>
      </c>
      <c r="B1370">
        <v>3.5642230000000001</v>
      </c>
      <c r="C1370">
        <f>LOG10(1.094017)</f>
        <v>3.902407057952309E-2</v>
      </c>
      <c r="D1370">
        <f>LOG10(3.564223)</f>
        <v>0.55196486838383396</v>
      </c>
    </row>
    <row r="1371" spans="1:4">
      <c r="A1371">
        <v>1.1256980000000001</v>
      </c>
      <c r="B1371">
        <v>3.439648</v>
      </c>
      <c r="C1371">
        <f>LOG10(1.125698)</f>
        <v>5.1421894489376181E-2</v>
      </c>
      <c r="D1371">
        <f>LOG10(3.439648)</f>
        <v>0.53651400086237189</v>
      </c>
    </row>
    <row r="1372" spans="1:4">
      <c r="A1372">
        <v>1.105969</v>
      </c>
      <c r="B1372">
        <v>3.5337079999999998</v>
      </c>
      <c r="C1372">
        <f>LOG10(1.105969)</f>
        <v>4.3742953987105218E-2</v>
      </c>
      <c r="D1372">
        <f>LOG10(3.533708)</f>
        <v>0.54823065970722928</v>
      </c>
    </row>
    <row r="1373" spans="1:4">
      <c r="A1373">
        <v>1.1168940000000001</v>
      </c>
      <c r="B1373">
        <v>3.6784699999999999</v>
      </c>
      <c r="C1373">
        <f>LOG10(1.116894)</f>
        <v>4.8011957896698695E-2</v>
      </c>
      <c r="D1373">
        <f>LOG10(3.67847)</f>
        <v>0.56566721847622459</v>
      </c>
    </row>
    <row r="1374" spans="1:4">
      <c r="A1374">
        <v>1.1039209999999999</v>
      </c>
      <c r="B1374">
        <v>3.49125</v>
      </c>
      <c r="C1374">
        <f>LOG10(1.103921)</f>
        <v>4.2937995049267402E-2</v>
      </c>
      <c r="D1374">
        <f>LOG10(3.49125)</f>
        <v>0.54298094870906144</v>
      </c>
    </row>
    <row r="1375" spans="1:4">
      <c r="A1375">
        <v>1.01346</v>
      </c>
      <c r="B1375">
        <v>9.0802589999999999</v>
      </c>
      <c r="C1375">
        <f>LOG10(1.01346)</f>
        <v>5.8066123066863005E-3</v>
      </c>
      <c r="D1375">
        <f>LOG10(9.080259)</f>
        <v>0.95809823625969837</v>
      </c>
    </row>
    <row r="1376" spans="1:4">
      <c r="A1376">
        <v>1.0115289999999999</v>
      </c>
      <c r="B1376">
        <v>9.3303969999999996</v>
      </c>
      <c r="C1376">
        <f>LOG10(1.011529)</f>
        <v>4.9783382777913963E-3</v>
      </c>
      <c r="D1376">
        <f>LOG10(9.330397)</f>
        <v>0.96990012297921313</v>
      </c>
    </row>
    <row r="1377" spans="1:4">
      <c r="A1377">
        <v>1.0115559999999999</v>
      </c>
      <c r="B1377">
        <v>7.77623</v>
      </c>
      <c r="C1377">
        <f>LOG10(1.011556)</f>
        <v>4.9899304264278436E-3</v>
      </c>
      <c r="D1377">
        <f>LOG10(7.77623)</f>
        <v>0.89076909737264431</v>
      </c>
    </row>
    <row r="1378" spans="1:4">
      <c r="A1378">
        <v>1.0133399999999999</v>
      </c>
      <c r="B1378">
        <v>9.2536249999999995</v>
      </c>
      <c r="C1378">
        <f>LOG10(1.01334)</f>
        <v>5.7551860802314576E-3</v>
      </c>
      <c r="D1378">
        <f>LOG10(9.253625)</f>
        <v>0.96631189588458266</v>
      </c>
    </row>
    <row r="1379" spans="1:4">
      <c r="A1379">
        <v>1.0467580000000001</v>
      </c>
      <c r="B1379">
        <v>8.7223679999999995</v>
      </c>
      <c r="C1379">
        <f>LOG10(1.046758)</f>
        <v>1.9846288734587492E-2</v>
      </c>
      <c r="D1379">
        <f>LOG10(8.722368)</f>
        <v>0.94063440577215329</v>
      </c>
    </row>
    <row r="1380" spans="1:4">
      <c r="A1380">
        <v>1.011153</v>
      </c>
      <c r="B1380">
        <v>9.3923360000000002</v>
      </c>
      <c r="C1380">
        <f>LOG10(1.011153)</f>
        <v>4.8168747090479979E-3</v>
      </c>
      <c r="D1380">
        <f>LOG10(9.392336)</f>
        <v>0.97277362056620709</v>
      </c>
    </row>
    <row r="1381" spans="1:4">
      <c r="A1381">
        <v>1.011296</v>
      </c>
      <c r="B1381">
        <v>8.9639699999999998</v>
      </c>
      <c r="C1381">
        <f>LOG10(1.011296)</f>
        <v>4.8782894700784719E-3</v>
      </c>
      <c r="D1381">
        <f>LOG10(8.96397)</f>
        <v>0.9525003943984699</v>
      </c>
    </row>
    <row r="1382" spans="1:4">
      <c r="A1382">
        <v>1.0120180000000001</v>
      </c>
      <c r="B1382">
        <v>9.0223340000000007</v>
      </c>
      <c r="C1382">
        <f>LOG10(1.012018)</f>
        <v>5.1882370404934238E-3</v>
      </c>
      <c r="D1382">
        <f>LOG10(9.022334)</f>
        <v>0.95531890031345645</v>
      </c>
    </row>
    <row r="1383" spans="1:4">
      <c r="A1383">
        <v>1.012089</v>
      </c>
      <c r="B1383">
        <v>8.6419149999999991</v>
      </c>
      <c r="C1383">
        <f>LOG10(1.012089)</f>
        <v>5.2187047067064722E-3</v>
      </c>
      <c r="D1383">
        <f>LOG10(8.641915)</f>
        <v>0.93660999036996884</v>
      </c>
    </row>
    <row r="1384" spans="1:4">
      <c r="A1384">
        <v>1.00918</v>
      </c>
      <c r="B1384">
        <v>8.4813799999999997</v>
      </c>
      <c r="C1384">
        <f>LOG10(1.00918)</f>
        <v>3.9686350523282267E-3</v>
      </c>
      <c r="D1384">
        <f>LOG10(8.48138)</f>
        <v>0.9284665217878898</v>
      </c>
    </row>
    <row r="1385" spans="1:4">
      <c r="A1385">
        <v>1.0121100000000001</v>
      </c>
      <c r="B1385">
        <v>8.0688809999999993</v>
      </c>
      <c r="C1385">
        <f>LOG10(1.01211)</f>
        <v>5.2277158603730011E-3</v>
      </c>
      <c r="D1385">
        <f>LOG10(8.068881)</f>
        <v>0.90681331053105885</v>
      </c>
    </row>
    <row r="1386" spans="1:4">
      <c r="A1386">
        <v>1.0104930000000001</v>
      </c>
      <c r="B1386">
        <v>8.3984740000000002</v>
      </c>
      <c r="C1386">
        <f>LOG10(1.010493)</f>
        <v>4.5333093684895567E-3</v>
      </c>
      <c r="D1386">
        <f>LOG10(8.398474)</f>
        <v>0.92420038206367239</v>
      </c>
    </row>
    <row r="1387" spans="1:4">
      <c r="A1387">
        <v>1.010332</v>
      </c>
      <c r="B1387">
        <v>8.4723410000000001</v>
      </c>
      <c r="C1387">
        <f>LOG10(1.010332)</f>
        <v>4.4641085106870296E-3</v>
      </c>
      <c r="D1387">
        <f>LOG10(8.472341)</f>
        <v>0.92800342720306306</v>
      </c>
    </row>
    <row r="1388" spans="1:4">
      <c r="A1388">
        <v>1.010554</v>
      </c>
      <c r="B1388">
        <v>8.6959759999999999</v>
      </c>
      <c r="C1388">
        <f>LOG10(1.010554)</f>
        <v>4.5595254469915263E-3</v>
      </c>
      <c r="D1388">
        <f>LOG10(8.695976)</f>
        <v>0.93931833247175822</v>
      </c>
    </row>
    <row r="1389" spans="1:4">
      <c r="A1389">
        <v>1.00912</v>
      </c>
      <c r="B1389">
        <v>8.0847870000000004</v>
      </c>
      <c r="C1389">
        <f>LOG10(1.00912)</f>
        <v>3.9428136492445929E-3</v>
      </c>
      <c r="D1389">
        <f>LOG10(8.084787)</f>
        <v>0.9076685825673193</v>
      </c>
    </row>
    <row r="1390" spans="1:4">
      <c r="A1390">
        <v>1.0098549999999999</v>
      </c>
      <c r="B1390">
        <v>8.1183019999999999</v>
      </c>
      <c r="C1390">
        <f>LOG10(1.009855)</f>
        <v>4.2590200988542135E-3</v>
      </c>
      <c r="D1390">
        <f>LOG10(8.118302)</f>
        <v>0.9094652029918594</v>
      </c>
    </row>
    <row r="1391" spans="1:4">
      <c r="A1391">
        <v>1.0107969999999999</v>
      </c>
      <c r="B1391">
        <v>7.232037</v>
      </c>
      <c r="C1391">
        <f>LOG10(1.010797)</f>
        <v>4.6639442833152312E-3</v>
      </c>
      <c r="D1391">
        <f>LOG10(7.232037)</f>
        <v>0.85926063937752883</v>
      </c>
    </row>
    <row r="1392" spans="1:4">
      <c r="A1392">
        <v>1.248175</v>
      </c>
      <c r="B1392">
        <v>5.799569</v>
      </c>
      <c r="C1392">
        <f>LOG10(1.248175)</f>
        <v>9.6275479742397127E-2</v>
      </c>
      <c r="D1392">
        <f>LOG10(5.799569)</f>
        <v>0.7633957197910779</v>
      </c>
    </row>
    <row r="1393" spans="1:4">
      <c r="A1393">
        <v>1.0179720000000001</v>
      </c>
      <c r="B1393">
        <v>3.1196959999999998</v>
      </c>
      <c r="C1393">
        <f>LOG10(1.017972)</f>
        <v>7.7358326051313432E-3</v>
      </c>
      <c r="D1393">
        <f>LOG10(3.119696)</f>
        <v>0.49411227608417063</v>
      </c>
    </row>
    <row r="1394" spans="1:4">
      <c r="A1394">
        <v>1.0120830000000001</v>
      </c>
      <c r="B1394">
        <v>3.3658100000000002</v>
      </c>
      <c r="C1394">
        <f>LOG10(1.012083)</f>
        <v>5.2161300570310442E-3</v>
      </c>
      <c r="D1394">
        <f>LOG10(3.36581)</f>
        <v>0.52708959640494746</v>
      </c>
    </row>
    <row r="1395" spans="1:4">
      <c r="A1395">
        <v>1.0085710000000001</v>
      </c>
      <c r="B1395">
        <v>3.3840469999999998</v>
      </c>
      <c r="C1395">
        <f>LOG10(1.008571)</f>
        <v>3.7064764931103574E-3</v>
      </c>
      <c r="D1395">
        <f>LOG10(3.384047)</f>
        <v>0.52943638619290256</v>
      </c>
    </row>
    <row r="1396" spans="1:4">
      <c r="A1396">
        <v>1.022643</v>
      </c>
      <c r="B1396">
        <v>3.3384589999999998</v>
      </c>
      <c r="C1396">
        <f>LOG10(1.022643)</f>
        <v>9.7240499493887588E-3</v>
      </c>
      <c r="D1396">
        <f>LOG10(3.338459)</f>
        <v>0.52354604698163354</v>
      </c>
    </row>
    <row r="1397" spans="1:4">
      <c r="A1397">
        <v>1.009781</v>
      </c>
      <c r="B1397">
        <v>3.4192520000000002</v>
      </c>
      <c r="C1397">
        <f>LOG10(1.009781)</f>
        <v>4.2271947682746619E-3</v>
      </c>
      <c r="D1397">
        <f>LOG10(3.419252)</f>
        <v>0.53393110962267742</v>
      </c>
    </row>
    <row r="1398" spans="1:4">
      <c r="A1398">
        <v>1.0087759999999999</v>
      </c>
      <c r="B1398">
        <v>3.4210440000000002</v>
      </c>
      <c r="C1398">
        <f>LOG10(1.008776)</f>
        <v>3.7947412974266475E-3</v>
      </c>
      <c r="D1398">
        <f>LOG10(3.421044)</f>
        <v>0.53415865993025924</v>
      </c>
    </row>
    <row r="1399" spans="1:4">
      <c r="A1399">
        <v>1.009779</v>
      </c>
      <c r="B1399">
        <v>3.4969329999999998</v>
      </c>
      <c r="C1399">
        <f>LOG10(1.009779)</f>
        <v>4.2263345918363959E-3</v>
      </c>
      <c r="D1399">
        <f>LOG10(3.496933)</f>
        <v>0.54368731146022076</v>
      </c>
    </row>
    <row r="1400" spans="1:4">
      <c r="A1400">
        <v>1.0170539999999999</v>
      </c>
      <c r="B1400">
        <v>3.5066999999999999</v>
      </c>
      <c r="C1400">
        <f>LOG10(1.017054)</f>
        <v>7.3440121945517797E-3</v>
      </c>
      <c r="D1400">
        <f>LOG10(3.5067)</f>
        <v>0.54489861335297962</v>
      </c>
    </row>
    <row r="1401" spans="1:4">
      <c r="A1401">
        <v>1.0156620000000001</v>
      </c>
      <c r="B1401">
        <v>3.659144</v>
      </c>
      <c r="C1401">
        <f>LOG10(1.015662)</f>
        <v>6.7492040528258201E-3</v>
      </c>
      <c r="D1401">
        <f>LOG10(3.659144)</f>
        <v>0.56337950081615829</v>
      </c>
    </row>
    <row r="1402" spans="1:4">
      <c r="A1402">
        <v>1.0119089999999999</v>
      </c>
      <c r="B1402">
        <v>3.6502309999999998</v>
      </c>
      <c r="C1402">
        <f>LOG10(1.011909)</f>
        <v>5.1414585760791625E-3</v>
      </c>
      <c r="D1402">
        <f>LOG10(3.650231)</f>
        <v>0.56232034907315409</v>
      </c>
    </row>
    <row r="1403" spans="1:4">
      <c r="A1403">
        <v>1.0114080000000001</v>
      </c>
      <c r="B1403">
        <v>3.7136369999999999</v>
      </c>
      <c r="C1403">
        <f>LOG10(1.011408)</f>
        <v>4.9263844775762804E-3</v>
      </c>
      <c r="D1403">
        <f>LOG10(3.713637)</f>
        <v>0.56979945013030997</v>
      </c>
    </row>
    <row r="1404" spans="1:4">
      <c r="A1404">
        <v>1.0115209999999999</v>
      </c>
      <c r="B1404">
        <v>3.620304</v>
      </c>
      <c r="C1404">
        <f>LOG10(1.011521)</f>
        <v>4.974903507661891E-3</v>
      </c>
      <c r="D1404">
        <f>LOG10(3.620304)</f>
        <v>0.55874504014067838</v>
      </c>
    </row>
    <row r="1405" spans="1:4">
      <c r="A1405">
        <v>1.0313319999999999</v>
      </c>
      <c r="B1405">
        <v>3.640336</v>
      </c>
      <c r="C1405">
        <f>LOG10(1.031332)</f>
        <v>1.3398493176636947E-2</v>
      </c>
      <c r="D1405">
        <f>LOG10(3.640336)</f>
        <v>0.56114147052032759</v>
      </c>
    </row>
    <row r="1406" spans="1:4">
      <c r="A1406">
        <v>1.0090129999999999</v>
      </c>
      <c r="B1406">
        <v>3.463028</v>
      </c>
      <c r="C1406">
        <f>LOG10(1.009013)</f>
        <v>3.896761669908023E-3</v>
      </c>
      <c r="D1406">
        <f>LOG10(3.463028)</f>
        <v>0.53945600301245045</v>
      </c>
    </row>
    <row r="1407" spans="1:4">
      <c r="A1407">
        <v>1.0098659999999999</v>
      </c>
      <c r="B1407">
        <v>3.566408</v>
      </c>
      <c r="C1407">
        <f>LOG10(1.009866)</f>
        <v>4.2637506921400937E-3</v>
      </c>
      <c r="D1407">
        <f>LOG10(3.566408)</f>
        <v>0.55223102532637069</v>
      </c>
    </row>
    <row r="1408" spans="1:4">
      <c r="A1408">
        <v>1.0096529999999999</v>
      </c>
      <c r="B1408">
        <v>3.4577529999999999</v>
      </c>
      <c r="C1408">
        <f>LOG10(1.009653)</f>
        <v>4.1721400412985717E-3</v>
      </c>
      <c r="D1408">
        <f>LOG10(3.457753)</f>
        <v>0.53879396679553526</v>
      </c>
    </row>
    <row r="1409" spans="1:4">
      <c r="A1409">
        <v>1.011001</v>
      </c>
      <c r="B1409">
        <v>3.556962</v>
      </c>
      <c r="C1409">
        <f>LOG10(1.011001)</f>
        <v>4.7515851600091101E-3</v>
      </c>
      <c r="D1409">
        <f>LOG10(3.556962)</f>
        <v>0.55107922552357447</v>
      </c>
    </row>
    <row r="1410" spans="1:4">
      <c r="A1410">
        <v>1.0161770000000001</v>
      </c>
      <c r="B1410">
        <v>3.7114440000000002</v>
      </c>
      <c r="C1410">
        <f>LOG10(1.016177)</f>
        <v>6.9693609284147513E-3</v>
      </c>
      <c r="D1410">
        <f>LOG10(3.711444)</f>
        <v>0.56954291210021779</v>
      </c>
    </row>
    <row r="1411" spans="1:4">
      <c r="A1411">
        <v>1.178377</v>
      </c>
      <c r="B1411">
        <v>3.8481960000000002</v>
      </c>
      <c r="C1411">
        <f>LOG10(1.178377)</f>
        <v>7.128425719628069E-2</v>
      </c>
      <c r="D1411">
        <f>LOG10(3.848196)</f>
        <v>0.58525718383112513</v>
      </c>
    </row>
    <row r="1412" spans="1:4">
      <c r="A1412">
        <v>1.1877059999999999</v>
      </c>
      <c r="B1412">
        <v>3.5084979999999999</v>
      </c>
      <c r="C1412">
        <f>LOG10(1.187706)</f>
        <v>7.4708950426830054E-2</v>
      </c>
      <c r="D1412">
        <f>LOG10(3.508498)</f>
        <v>0.54512123329772255</v>
      </c>
    </row>
    <row r="1413" spans="1:4">
      <c r="A1413">
        <v>1.175854</v>
      </c>
      <c r="B1413">
        <v>3.5133320000000001</v>
      </c>
      <c r="C1413">
        <f>LOG10(1.175854)</f>
        <v>7.0353400880713152E-2</v>
      </c>
      <c r="D1413">
        <f>LOG10(3.513332)</f>
        <v>0.54571919133919389</v>
      </c>
    </row>
    <row r="1414" spans="1:4">
      <c r="A1414">
        <v>1.1489450000000001</v>
      </c>
      <c r="B1414">
        <v>3.884163</v>
      </c>
      <c r="C1414">
        <f>LOG10(1.148945)</f>
        <v>6.0299239507944316E-2</v>
      </c>
      <c r="D1414">
        <f>LOG10(3.884163)</f>
        <v>0.58929744690928554</v>
      </c>
    </row>
    <row r="1415" spans="1:4">
      <c r="A1415">
        <v>1.135853</v>
      </c>
      <c r="B1415">
        <v>3.8340209999999999</v>
      </c>
      <c r="C1415">
        <f>LOG10(1.135853)</f>
        <v>5.5322129420974982E-2</v>
      </c>
      <c r="D1415">
        <f>LOG10(3.834021)</f>
        <v>0.58365448730029701</v>
      </c>
    </row>
    <row r="1416" spans="1:4">
      <c r="A1416">
        <v>1.143486</v>
      </c>
      <c r="B1416">
        <v>3.9094000000000002</v>
      </c>
      <c r="C1416">
        <f>LOG10(1.143486)</f>
        <v>5.823085179369273E-2</v>
      </c>
      <c r="D1416">
        <f>LOG10(3.9094)</f>
        <v>0.59211010862750779</v>
      </c>
    </row>
    <row r="1417" spans="1:4">
      <c r="A1417">
        <v>1.1268370000000001</v>
      </c>
      <c r="B1417">
        <v>3.7798400000000001</v>
      </c>
      <c r="C1417">
        <f>LOG10(1.126837)</f>
        <v>5.1861098725534016E-2</v>
      </c>
      <c r="D1417">
        <f>LOG10(3.77984)</f>
        <v>0.57747341661294682</v>
      </c>
    </row>
    <row r="1418" spans="1:4">
      <c r="A1418">
        <v>1.103807</v>
      </c>
      <c r="B1418">
        <v>3.7402099999999998</v>
      </c>
      <c r="C1418">
        <f>LOG10(1.103807)</f>
        <v>4.289314389823707E-2</v>
      </c>
      <c r="D1418">
        <f>LOG10(3.74021)</f>
        <v>0.57289598703492295</v>
      </c>
    </row>
    <row r="1419" spans="1:4">
      <c r="A1419">
        <v>1.0800879999999999</v>
      </c>
      <c r="B1419">
        <v>3.6039940000000001</v>
      </c>
      <c r="C1419">
        <f>LOG10(1.080088)</f>
        <v>3.345914100312182E-2</v>
      </c>
      <c r="D1419">
        <f>LOG10(3.603994)</f>
        <v>0.55678405928564345</v>
      </c>
    </row>
    <row r="1420" spans="1:4">
      <c r="A1420">
        <v>1.083418</v>
      </c>
      <c r="B1420">
        <v>3.643894</v>
      </c>
      <c r="C1420">
        <f>LOG10(1.083418)</f>
        <v>3.4796046717064683E-2</v>
      </c>
      <c r="D1420">
        <f>LOG10(3.643894)</f>
        <v>0.56156573496269169</v>
      </c>
    </row>
    <row r="1421" spans="1:4">
      <c r="A1421">
        <v>1.0754520000000001</v>
      </c>
      <c r="B1421">
        <v>3.9604970000000002</v>
      </c>
      <c r="C1421">
        <f>LOG10(1.075452)</f>
        <v>3.1591031552555389E-2</v>
      </c>
      <c r="D1421">
        <f>LOG10(3.960497)</f>
        <v>0.59774968865628519</v>
      </c>
    </row>
    <row r="1422" spans="1:4">
      <c r="A1422">
        <v>1.1033500000000001</v>
      </c>
      <c r="B1422">
        <v>3.701384</v>
      </c>
      <c r="C1422">
        <f>LOG10(1.10335)</f>
        <v>4.2713299346113218E-2</v>
      </c>
      <c r="D1422">
        <f>LOG10(3.701384)</f>
        <v>0.56836414330371066</v>
      </c>
    </row>
    <row r="1423" spans="1:4">
      <c r="A1423">
        <v>1.0762970000000001</v>
      </c>
      <c r="B1423">
        <v>3.5393880000000002</v>
      </c>
      <c r="C1423">
        <f>LOG10(1.076297)</f>
        <v>3.1932129753203274E-2</v>
      </c>
      <c r="D1423">
        <f>LOG10(3.539388)</f>
        <v>0.54892817411604566</v>
      </c>
    </row>
    <row r="1424" spans="1:4">
      <c r="A1424">
        <v>1.1020909999999999</v>
      </c>
      <c r="B1424">
        <v>3.5119699999999998</v>
      </c>
      <c r="C1424">
        <f>LOG10(1.102091)</f>
        <v>4.2217455828094656E-2</v>
      </c>
      <c r="D1424">
        <f>LOG10(3.51197)</f>
        <v>0.54555079741342016</v>
      </c>
    </row>
    <row r="1425" spans="1:4">
      <c r="A1425">
        <v>1.109429</v>
      </c>
      <c r="B1425">
        <v>3.479295</v>
      </c>
      <c r="C1425">
        <f>LOG10(1.109429)</f>
        <v>4.5099513963373576E-2</v>
      </c>
      <c r="D1425">
        <f>LOG10(3.479295)</f>
        <v>0.54149125296163514</v>
      </c>
    </row>
    <row r="1426" spans="1:4">
      <c r="A1426">
        <v>1.086225</v>
      </c>
      <c r="B1426">
        <v>3.5330859999999999</v>
      </c>
      <c r="C1426">
        <f>LOG10(1.086225)</f>
        <v>3.591979407169147E-2</v>
      </c>
      <c r="D1426">
        <f>LOG10(3.533086)</f>
        <v>0.54815420886730348</v>
      </c>
    </row>
    <row r="1427" spans="1:4">
      <c r="A1427">
        <v>1.0832189999999999</v>
      </c>
      <c r="B1427">
        <v>3.9315470000000001</v>
      </c>
      <c r="C1427">
        <f>LOG10(1.083219)</f>
        <v>3.4716269068901379E-2</v>
      </c>
      <c r="D1427">
        <f>LOG10(3.931547)</f>
        <v>0.59456347184220071</v>
      </c>
    </row>
    <row r="1428" spans="1:4">
      <c r="A1428">
        <v>1.0753649999999999</v>
      </c>
      <c r="B1428">
        <v>4.041836</v>
      </c>
      <c r="C1428">
        <f>LOG10(1.075365)</f>
        <v>3.155589735011393E-2</v>
      </c>
      <c r="D1428">
        <f>LOG10(4.041836)</f>
        <v>0.60657868776909285</v>
      </c>
    </row>
    <row r="1429" spans="1:4">
      <c r="A1429">
        <v>1.045329</v>
      </c>
      <c r="B1429">
        <v>4.1386620000000001</v>
      </c>
      <c r="C1429">
        <f>LOG10(1.045329)</f>
        <v>1.9252998961116277E-2</v>
      </c>
      <c r="D1429">
        <f>LOG10(4.138662)</f>
        <v>0.61685995949356687</v>
      </c>
    </row>
    <row r="1430" spans="1:4">
      <c r="A1430">
        <v>1.052538</v>
      </c>
      <c r="B1430">
        <v>4.2001910000000002</v>
      </c>
      <c r="C1430">
        <f>LOG10(1.052538)</f>
        <v>2.2237784215449061E-2</v>
      </c>
      <c r="D1430">
        <f>LOG10(4.200191)</f>
        <v>0.62326904000741723</v>
      </c>
    </row>
    <row r="1431" spans="1:4">
      <c r="A1431">
        <v>1.060095</v>
      </c>
      <c r="B1431">
        <v>4.0828790000000001</v>
      </c>
      <c r="C1431">
        <f>LOG10(1.060095)</f>
        <v>2.5344786139361641E-2</v>
      </c>
      <c r="D1431">
        <f>LOG10(4.082879)</f>
        <v>0.61096650938393715</v>
      </c>
    </row>
    <row r="1432" spans="1:4">
      <c r="A1432">
        <v>1.0627850000000001</v>
      </c>
      <c r="B1432">
        <v>3.9609040000000002</v>
      </c>
      <c r="C1432">
        <f>LOG10(1.062785)</f>
        <v>2.6445416209447958E-2</v>
      </c>
      <c r="D1432">
        <f>LOG10(3.960904)</f>
        <v>0.59779431658366577</v>
      </c>
    </row>
    <row r="1433" spans="1:4">
      <c r="A1433">
        <v>1.0717730000000001</v>
      </c>
      <c r="B1433">
        <v>3.9478770000000001</v>
      </c>
      <c r="C1433">
        <f>LOG10(1.071773)</f>
        <v>3.0102812141526977E-2</v>
      </c>
      <c r="D1433">
        <f>LOG10(3.947877)</f>
        <v>0.59636361333564014</v>
      </c>
    </row>
    <row r="1434" spans="1:4">
      <c r="A1434">
        <v>1.052551</v>
      </c>
      <c r="B1434">
        <v>3.932766</v>
      </c>
      <c r="C1434">
        <f>LOG10(1.052551)</f>
        <v>2.2243148196035945E-2</v>
      </c>
      <c r="D1434">
        <f>LOG10(3.932766)</f>
        <v>0.59469810661008948</v>
      </c>
    </row>
    <row r="1435" spans="1:4">
      <c r="A1435">
        <v>1.080498</v>
      </c>
      <c r="B1435">
        <v>3.9973700000000001</v>
      </c>
      <c r="C1435">
        <f>LOG10(1.080498)</f>
        <v>3.362396734164079E-2</v>
      </c>
      <c r="D1435">
        <f>LOG10(3.99737)</f>
        <v>0.60177434879083314</v>
      </c>
    </row>
    <row r="1436" spans="1:4">
      <c r="A1436">
        <v>1.070233</v>
      </c>
      <c r="B1436">
        <v>4.1631280000000004</v>
      </c>
      <c r="C1436">
        <f>LOG10(1.070233)</f>
        <v>2.9478338057545943E-2</v>
      </c>
      <c r="D1436">
        <f>LOG10(4.163128)</f>
        <v>0.61941976395886278</v>
      </c>
    </row>
    <row r="1437" spans="1:4">
      <c r="A1437">
        <v>1.066387</v>
      </c>
      <c r="B1437">
        <v>4.1717230000000001</v>
      </c>
      <c r="C1437">
        <f>LOG10(1.066387)</f>
        <v>2.7914842085962299E-2</v>
      </c>
      <c r="D1437">
        <f>LOG10(4.171723)</f>
        <v>0.62031546380882929</v>
      </c>
    </row>
    <row r="1438" spans="1:4">
      <c r="A1438">
        <v>1.0589139999999999</v>
      </c>
      <c r="B1438">
        <v>4.2821119999999997</v>
      </c>
      <c r="C1438">
        <f>LOG10(1.058914)</f>
        <v>2.4860690190515525E-2</v>
      </c>
      <c r="D1438">
        <f>LOG10(4.282112)</f>
        <v>0.63165802221714384</v>
      </c>
    </row>
    <row r="1439" spans="1:4">
      <c r="A1439">
        <v>1.0581719999999999</v>
      </c>
      <c r="B1439">
        <v>4.1815829999999998</v>
      </c>
      <c r="C1439">
        <f>LOG10(1.058172)</f>
        <v>2.4556265600520721E-2</v>
      </c>
      <c r="D1439">
        <f>LOG10(4.181583)</f>
        <v>0.62134072149250652</v>
      </c>
    </row>
    <row r="1440" spans="1:4">
      <c r="A1440">
        <v>1.0517780000000001</v>
      </c>
      <c r="B1440">
        <v>4.2595650000000003</v>
      </c>
      <c r="C1440">
        <f>LOG10(1.051778)</f>
        <v>2.1924082451457903E-2</v>
      </c>
      <c r="D1440">
        <f>LOG10(4.259565)</f>
        <v>0.62936524986662723</v>
      </c>
    </row>
    <row r="1441" spans="1:4">
      <c r="A1441">
        <v>1.0617939999999999</v>
      </c>
      <c r="B1441">
        <v>4.0195439999999998</v>
      </c>
      <c r="C1441">
        <f>LOG10(1.061794)</f>
        <v>2.604026689489726E-2</v>
      </c>
      <c r="D1441">
        <f>LOG10(4.019544)</f>
        <v>0.60417678703555977</v>
      </c>
    </row>
    <row r="1442" spans="1:4">
      <c r="A1442">
        <v>1.095799</v>
      </c>
      <c r="B1442">
        <v>3.5978309999999998</v>
      </c>
      <c r="C1442">
        <f>LOG10(1.095799)</f>
        <v>3.9730899772098448E-2</v>
      </c>
      <c r="D1442">
        <f>LOG10(3.597831)</f>
        <v>0.55604075948445886</v>
      </c>
    </row>
    <row r="1443" spans="1:4">
      <c r="A1443">
        <v>1.1030519999999999</v>
      </c>
      <c r="B1443">
        <v>3.5250460000000001</v>
      </c>
      <c r="C1443">
        <f>LOG10(1.103052)</f>
        <v>4.2595986402783607E-2</v>
      </c>
      <c r="D1443">
        <f>LOG10(3.525046)</f>
        <v>0.54716478867942286</v>
      </c>
    </row>
    <row r="1444" spans="1:4">
      <c r="A1444">
        <v>1.161049</v>
      </c>
      <c r="B1444">
        <v>3.5028480000000002</v>
      </c>
      <c r="C1444">
        <f>LOG10(1.161049)</f>
        <v>6.485054874852704E-2</v>
      </c>
      <c r="D1444">
        <f>LOG10(3.502848)</f>
        <v>0.54442129227245029</v>
      </c>
    </row>
    <row r="1445" spans="1:4">
      <c r="A1445">
        <v>1.1144419999999999</v>
      </c>
      <c r="B1445">
        <v>3.5707010000000001</v>
      </c>
      <c r="C1445">
        <f>LOG10(1.114442)</f>
        <v>4.7057470989958584E-2</v>
      </c>
      <c r="D1445">
        <f>LOG10(3.570701)</f>
        <v>0.55275348517269363</v>
      </c>
    </row>
    <row r="1446" spans="1:4">
      <c r="A1446">
        <v>1.1136999999999999</v>
      </c>
      <c r="B1446">
        <v>3.4238270000000002</v>
      </c>
      <c r="C1446">
        <f>LOG10(1.1137)</f>
        <v>4.6768219660838321E-2</v>
      </c>
      <c r="D1446">
        <f>LOG10(3.423827)</f>
        <v>0.53451181241764323</v>
      </c>
    </row>
    <row r="1447" spans="1:4">
      <c r="A1447">
        <v>1.095262</v>
      </c>
      <c r="B1447">
        <v>3.5917189999999999</v>
      </c>
      <c r="C1447">
        <f>LOG10(1.095262)</f>
        <v>3.9518020129357671E-2</v>
      </c>
      <c r="D1447">
        <f>LOG10(3.591719)</f>
        <v>0.55530235207012912</v>
      </c>
    </row>
    <row r="1448" spans="1:4">
      <c r="A1448">
        <v>1.102177</v>
      </c>
      <c r="B1448">
        <v>3.5318149999999999</v>
      </c>
      <c r="C1448">
        <f>LOG10(1.102177)</f>
        <v>4.2251344017246471E-2</v>
      </c>
      <c r="D1448">
        <f>LOG10(3.531815)</f>
        <v>0.54799794672224178</v>
      </c>
    </row>
    <row r="1449" spans="1:4">
      <c r="A1449">
        <v>1.134185</v>
      </c>
      <c r="B1449">
        <v>3.5966830000000001</v>
      </c>
      <c r="C1449">
        <f>LOG10(1.134185)</f>
        <v>5.4683899288979966E-2</v>
      </c>
      <c r="D1449">
        <f>LOG10(3.596683)</f>
        <v>0.55590216219506416</v>
      </c>
    </row>
    <row r="1450" spans="1:4">
      <c r="A1450">
        <v>1.1325369999999999</v>
      </c>
      <c r="B1450">
        <v>3.7730950000000001</v>
      </c>
      <c r="C1450">
        <f>LOG10(1.132537)</f>
        <v>5.4052399323582058E-2</v>
      </c>
      <c r="D1450">
        <f>LOG10(3.773095)</f>
        <v>0.57669774012184749</v>
      </c>
    </row>
    <row r="1451" spans="1:4">
      <c r="A1451">
        <v>1.1115159999999999</v>
      </c>
      <c r="B1451">
        <v>3.5992730000000002</v>
      </c>
      <c r="C1451">
        <f>LOG10(1.111516)</f>
        <v>4.591571864247472E-2</v>
      </c>
      <c r="D1451">
        <f>LOG10(3.599273)</f>
        <v>0.55621478855261874</v>
      </c>
    </row>
    <row r="1452" spans="1:4">
      <c r="A1452">
        <v>1.1256699999999999</v>
      </c>
      <c r="B1452">
        <v>3.8380510000000001</v>
      </c>
      <c r="C1452">
        <f>LOG10(1.12567)</f>
        <v>5.1411091950214233E-2</v>
      </c>
      <c r="D1452">
        <f>LOG10(3.838051)</f>
        <v>0.58411074134041641</v>
      </c>
    </row>
    <row r="1453" spans="1:4">
      <c r="A1453">
        <v>1.123597</v>
      </c>
      <c r="B1453">
        <v>3.9674480000000001</v>
      </c>
      <c r="C1453">
        <f>LOG10(1.123597)</f>
        <v>5.0610570966364017E-2</v>
      </c>
      <c r="D1453">
        <f>LOG10(3.967448)</f>
        <v>0.59851124331319849</v>
      </c>
    </row>
    <row r="1454" spans="1:4">
      <c r="A1454">
        <v>1.144363</v>
      </c>
      <c r="B1454">
        <v>4.0645350000000002</v>
      </c>
      <c r="C1454">
        <f>LOG10(1.144363)</f>
        <v>5.8563807578173845E-2</v>
      </c>
      <c r="D1454">
        <f>LOG10(4.064535)</f>
        <v>0.60901086764584678</v>
      </c>
    </row>
    <row r="1455" spans="1:4">
      <c r="A1455">
        <v>1.1221350000000001</v>
      </c>
      <c r="B1455">
        <v>4.0394500000000004</v>
      </c>
      <c r="C1455">
        <f>LOG10(1.122135)</f>
        <v>5.0045108460382119E-2</v>
      </c>
      <c r="D1455">
        <f>LOG10(4.03945)</f>
        <v>0.6063222368369191</v>
      </c>
    </row>
    <row r="1456" spans="1:4">
      <c r="A1456">
        <v>1.1347609999999999</v>
      </c>
      <c r="B1456">
        <v>4.1319419999999996</v>
      </c>
      <c r="C1456">
        <f>LOG10(1.134761)</f>
        <v>5.4904401343193722E-2</v>
      </c>
      <c r="D1456">
        <f>LOG10(4.131942)</f>
        <v>0.61615421670606818</v>
      </c>
    </row>
    <row r="1457" spans="1:4">
      <c r="A1457">
        <v>1.098374</v>
      </c>
      <c r="B1457">
        <v>4.1880559999999996</v>
      </c>
      <c r="C1457">
        <f>LOG10(1.098374)</f>
        <v>4.075024401186253E-2</v>
      </c>
      <c r="D1457">
        <f>LOG10(4.188056)</f>
        <v>0.6220124801530289</v>
      </c>
    </row>
    <row r="1458" spans="1:4">
      <c r="A1458">
        <v>1.133033</v>
      </c>
      <c r="B1458">
        <v>4.1218329999999996</v>
      </c>
      <c r="C1458">
        <f>LOG10(1.133033)</f>
        <v>5.4242559033028756E-2</v>
      </c>
      <c r="D1458">
        <f>LOG10(4.121833)</f>
        <v>0.61509039194399173</v>
      </c>
    </row>
    <row r="1459" spans="1:4">
      <c r="A1459">
        <v>1.142436</v>
      </c>
      <c r="B1459">
        <v>3.6963469999999998</v>
      </c>
      <c r="C1459">
        <f>LOG10(1.142436)</f>
        <v>5.7831879966947025E-2</v>
      </c>
      <c r="D1459">
        <f>LOG10(3.696347)</f>
        <v>0.56777273449379373</v>
      </c>
    </row>
    <row r="1460" spans="1:4">
      <c r="A1460">
        <v>1.02085</v>
      </c>
      <c r="B1460">
        <v>4.0599109999999996</v>
      </c>
      <c r="C1460">
        <f>LOG10(1.02085)</f>
        <v>8.9619331171987976E-3</v>
      </c>
      <c r="D1460">
        <f>LOG10(4.059911)</f>
        <v>0.60851651322435008</v>
      </c>
    </row>
    <row r="1461" spans="1:4">
      <c r="A1461">
        <v>1.027156</v>
      </c>
      <c r="B1461">
        <v>3.9396930000000001</v>
      </c>
      <c r="C1461">
        <f>LOG10(1.027156)</f>
        <v>1.1636407369559501E-2</v>
      </c>
      <c r="D1461">
        <f>LOG10(3.939693)</f>
        <v>0.59546238081019154</v>
      </c>
    </row>
    <row r="1462" spans="1:4">
      <c r="A1462">
        <v>1.026205</v>
      </c>
      <c r="B1462">
        <v>3.9100839999999999</v>
      </c>
      <c r="C1462">
        <f>LOG10(1.026205)</f>
        <v>1.1234126346572622E-2</v>
      </c>
      <c r="D1462">
        <f>LOG10(3.910084)</f>
        <v>0.59218608740727874</v>
      </c>
    </row>
    <row r="1463" spans="1:4">
      <c r="A1463">
        <v>1.0258480000000001</v>
      </c>
      <c r="B1463">
        <v>4.2245530000000002</v>
      </c>
      <c r="C1463">
        <f>LOG10(1.025848)</f>
        <v>1.1083016086161581E-2</v>
      </c>
      <c r="D1463">
        <f>LOG10(4.224553)</f>
        <v>0.62578076301269869</v>
      </c>
    </row>
    <row r="1464" spans="1:4">
      <c r="A1464">
        <v>1.017274</v>
      </c>
      <c r="B1464">
        <v>4.2313299999999998</v>
      </c>
      <c r="C1464">
        <f>LOG10(1.017274)</f>
        <v>7.4379447230243081E-3</v>
      </c>
      <c r="D1464">
        <f>LOG10(4.23133)</f>
        <v>0.62647689713234722</v>
      </c>
    </row>
    <row r="1465" spans="1:4">
      <c r="A1465">
        <v>1.019801</v>
      </c>
      <c r="B1465">
        <v>4.3630240000000002</v>
      </c>
      <c r="C1465">
        <f>LOG10(1.019801)</f>
        <v>8.5154334936522226E-3</v>
      </c>
      <c r="D1465">
        <f>LOG10(4.363024)</f>
        <v>0.63978760194829121</v>
      </c>
    </row>
    <row r="1466" spans="1:4">
      <c r="A1466">
        <v>1.0238389999999999</v>
      </c>
      <c r="B1466">
        <v>4.0486360000000001</v>
      </c>
      <c r="C1466">
        <f>LOG10(1.023839)</f>
        <v>1.0231668642825363E-2</v>
      </c>
      <c r="D1466">
        <f>LOG10(4.048636)</f>
        <v>0.60730873248647255</v>
      </c>
    </row>
    <row r="1467" spans="1:4">
      <c r="A1467">
        <v>1.0165979999999999</v>
      </c>
      <c r="B1467">
        <v>3.979149</v>
      </c>
      <c r="C1467">
        <f>LOG10(1.016598)</f>
        <v>7.1492509600171927E-3</v>
      </c>
      <c r="D1467">
        <f>LOG10(3.979149)</f>
        <v>0.59979020169131203</v>
      </c>
    </row>
    <row r="1468" spans="1:4">
      <c r="A1468">
        <v>1.0180359999999999</v>
      </c>
      <c r="B1468">
        <v>3.715338</v>
      </c>
      <c r="C1468">
        <f>LOG10(1.018036)</f>
        <v>7.7631358837539164E-3</v>
      </c>
      <c r="D1468">
        <f>LOG10(3.715338)</f>
        <v>0.56999832949835927</v>
      </c>
    </row>
    <row r="1469" spans="1:4">
      <c r="A1469">
        <v>1.0175670000000001</v>
      </c>
      <c r="B1469">
        <v>3.8745599999999998</v>
      </c>
      <c r="C1469">
        <f>LOG10(1.017567)</f>
        <v>7.5630142336908738E-3</v>
      </c>
      <c r="D1469">
        <f>LOG10(3.87456)</f>
        <v>0.58822239060444126</v>
      </c>
    </row>
    <row r="1470" spans="1:4">
      <c r="A1470">
        <v>1.016273</v>
      </c>
      <c r="B1470">
        <v>4.1300350000000003</v>
      </c>
      <c r="C1470">
        <f>LOG10(1.016273)</f>
        <v>7.0103875419045428E-3</v>
      </c>
      <c r="D1470">
        <f>LOG10(4.130035)</f>
        <v>0.61595373210251703</v>
      </c>
    </row>
    <row r="1471" spans="1:4">
      <c r="A1471">
        <v>1.018813</v>
      </c>
      <c r="B1471">
        <v>3.7945489999999999</v>
      </c>
      <c r="C1471">
        <f>LOG10(1.018813)</f>
        <v>8.0944779015542784E-3</v>
      </c>
      <c r="D1471">
        <f>LOG10(3.794549)</f>
        <v>0.5791601653564733</v>
      </c>
    </row>
    <row r="1472" spans="1:4">
      <c r="A1472">
        <v>1.0153589999999999</v>
      </c>
      <c r="B1472">
        <v>3.7184759999999999</v>
      </c>
      <c r="C1472">
        <f>LOG10(1.015359)</f>
        <v>6.6196226954759853E-3</v>
      </c>
      <c r="D1472">
        <f>LOG10(3.718476)</f>
        <v>0.57036498278431957</v>
      </c>
    </row>
    <row r="1473" spans="1:4">
      <c r="A1473">
        <v>1.020759</v>
      </c>
      <c r="B1473">
        <v>3.5620229999999999</v>
      </c>
      <c r="C1473">
        <f>LOG10(1.020759)</f>
        <v>8.9232177727039449E-3</v>
      </c>
      <c r="D1473">
        <f>LOG10(3.562023)</f>
        <v>0.55169671937788023</v>
      </c>
    </row>
    <row r="1474" spans="1:4">
      <c r="A1474">
        <v>1.016818</v>
      </c>
      <c r="B1474">
        <v>3.6481050000000002</v>
      </c>
      <c r="C1474">
        <f>LOG10(1.016818)</f>
        <v>7.243225617826087E-3</v>
      </c>
      <c r="D1474">
        <f>LOG10(3.648105)</f>
        <v>0.56206732972884277</v>
      </c>
    </row>
    <row r="1475" spans="1:4">
      <c r="A1475">
        <v>1.025855</v>
      </c>
      <c r="B1475">
        <v>3.6905350000000001</v>
      </c>
      <c r="C1475">
        <f>LOG10(1.025855)</f>
        <v>1.1085979537863194E-2</v>
      </c>
      <c r="D1475">
        <f>LOG10(3.690535)</f>
        <v>0.56708932840996096</v>
      </c>
    </row>
    <row r="1476" spans="1:4">
      <c r="A1476">
        <v>1.071482</v>
      </c>
      <c r="B1476">
        <v>4.0456880000000002</v>
      </c>
      <c r="C1476">
        <f>LOG10(1.071482)</f>
        <v>2.998487965564876E-2</v>
      </c>
      <c r="D1476">
        <f>LOG10(4.045688)</f>
        <v>0.60699238730699623</v>
      </c>
    </row>
    <row r="1477" spans="1:4">
      <c r="A1477">
        <v>1.0498449999999999</v>
      </c>
      <c r="B1477">
        <v>4.1116890000000001</v>
      </c>
      <c r="C1477">
        <f>LOG10(1.049845)</f>
        <v>2.1125184199728794E-2</v>
      </c>
      <c r="D1477">
        <f>LOG10(4.111689)</f>
        <v>0.61402025805633664</v>
      </c>
    </row>
    <row r="1478" spans="1:4">
      <c r="A1478">
        <v>1.0212570000000001</v>
      </c>
      <c r="B1478">
        <v>4.2807870000000001</v>
      </c>
      <c r="C1478">
        <f>LOG10(1.021257)</f>
        <v>9.1350463345522843E-3</v>
      </c>
      <c r="D1478">
        <f>LOG10(4.280787)</f>
        <v>0.63152361909196053</v>
      </c>
    </row>
    <row r="1479" spans="1:4">
      <c r="A1479">
        <v>1.018597</v>
      </c>
      <c r="B1479">
        <v>4.2196910000000001</v>
      </c>
      <c r="C1479">
        <f>LOG10(1.018597)</f>
        <v>8.002392745947353E-3</v>
      </c>
      <c r="D1479">
        <f>LOG10(4.219691)</f>
        <v>0.62528064956160645</v>
      </c>
    </row>
    <row r="1480" spans="1:4">
      <c r="A1480">
        <v>1.0212639999999999</v>
      </c>
      <c r="B1480">
        <v>4.110347</v>
      </c>
      <c r="C1480">
        <f>LOG10(1.021264)</f>
        <v>9.1380231082288117E-3</v>
      </c>
      <c r="D1480">
        <f>LOG10(4.110347)</f>
        <v>0.61387848704003611</v>
      </c>
    </row>
    <row r="1481" spans="1:4">
      <c r="A1481">
        <v>1.0269809999999999</v>
      </c>
      <c r="B1481">
        <v>3.9964360000000001</v>
      </c>
      <c r="C1481">
        <f>LOG10(1.026981)</f>
        <v>1.1562408863601078E-2</v>
      </c>
      <c r="D1481">
        <f>LOG10(3.996436)</f>
        <v>0.60167286245305018</v>
      </c>
    </row>
    <row r="1482" spans="1:4">
      <c r="A1482">
        <v>1.027406</v>
      </c>
      <c r="B1482">
        <v>3.9791629999999998</v>
      </c>
      <c r="C1482">
        <f>LOG10(1.027406)</f>
        <v>1.1742097653923467E-2</v>
      </c>
      <c r="D1482">
        <f>LOG10(3.979163)</f>
        <v>0.59979172968437044</v>
      </c>
    </row>
    <row r="1483" spans="1:4">
      <c r="A1483">
        <v>1.022262</v>
      </c>
      <c r="B1483">
        <v>3.9403090000000001</v>
      </c>
      <c r="C1483">
        <f>LOG10(1.022262)</f>
        <v>9.5622172974858255E-3</v>
      </c>
      <c r="D1483">
        <f>LOG10(3.940309)</f>
        <v>0.59553028064102842</v>
      </c>
    </row>
    <row r="1484" spans="1:4">
      <c r="A1484">
        <v>1.034675</v>
      </c>
      <c r="B1484">
        <v>4.0995619999999997</v>
      </c>
      <c r="C1484">
        <f>LOG10(1.034675)</f>
        <v>1.4803955713886768E-2</v>
      </c>
      <c r="D1484">
        <f>LOG10(4.099562)</f>
        <v>0.61273745887964237</v>
      </c>
    </row>
    <row r="1485" spans="1:4">
      <c r="A1485">
        <v>1.0363260000000001</v>
      </c>
      <c r="B1485">
        <v>4.1994119999999997</v>
      </c>
      <c r="C1485">
        <f>LOG10(1.036326)</f>
        <v>1.5496394144884551E-2</v>
      </c>
      <c r="D1485">
        <f>LOG10(4.199412)</f>
        <v>0.62318848491395074</v>
      </c>
    </row>
    <row r="1486" spans="1:4">
      <c r="A1486">
        <v>1.041369</v>
      </c>
      <c r="B1486">
        <v>4.3154529999999998</v>
      </c>
      <c r="C1486">
        <f>LOG10(1.041369)</f>
        <v>1.760464523392587E-2</v>
      </c>
      <c r="D1486">
        <f>LOG10(4.315453)</f>
        <v>0.63502639103016834</v>
      </c>
    </row>
    <row r="1487" spans="1:4">
      <c r="A1487">
        <v>1.0395620000000001</v>
      </c>
      <c r="B1487">
        <v>4.3405310000000004</v>
      </c>
      <c r="C1487">
        <f>LOG10(1.039562)</f>
        <v>1.6850395981017865E-2</v>
      </c>
      <c r="D1487">
        <f>LOG10(4.340531)</f>
        <v>0.63754286229210178</v>
      </c>
    </row>
    <row r="1488" spans="1:4">
      <c r="A1488">
        <v>1.0388630000000001</v>
      </c>
      <c r="B1488">
        <v>4.3528159999999998</v>
      </c>
      <c r="C1488">
        <f>LOG10(1.038863)</f>
        <v>1.6558278772751372E-2</v>
      </c>
      <c r="D1488">
        <f>LOG10(4.352816)</f>
        <v>0.63877030927235179</v>
      </c>
    </row>
    <row r="1489" spans="1:4">
      <c r="A1489">
        <v>1.0217149999999999</v>
      </c>
      <c r="B1489">
        <v>4.3598140000000001</v>
      </c>
      <c r="C1489">
        <f>LOG10(1.021715)</f>
        <v>9.3297693910051882E-3</v>
      </c>
      <c r="D1489">
        <f>LOG10(4.359814)</f>
        <v>0.63946796163172448</v>
      </c>
    </row>
    <row r="1490" spans="1:4">
      <c r="A1490">
        <v>1.021658</v>
      </c>
      <c r="B1490">
        <v>3.8307180000000001</v>
      </c>
      <c r="C1490">
        <f>LOG10(1.021658)</f>
        <v>9.3055400550250272E-3</v>
      </c>
      <c r="D1490">
        <f>LOG10(3.830718)</f>
        <v>0.58328018237940604</v>
      </c>
    </row>
    <row r="1491" spans="1:4">
      <c r="A1491">
        <v>1.027296</v>
      </c>
      <c r="B1491">
        <v>3.4542299999999999</v>
      </c>
      <c r="C1491">
        <f>LOG10(1.027296)</f>
        <v>1.1695597097584864E-2</v>
      </c>
      <c r="D1491">
        <f>LOG10(3.45423)</f>
        <v>0.53835125170429765</v>
      </c>
    </row>
    <row r="1492" spans="1:4">
      <c r="A1492">
        <v>1.043194</v>
      </c>
      <c r="B1492">
        <v>3.631818</v>
      </c>
      <c r="C1492">
        <f>LOG10(1.043194)</f>
        <v>1.8365080521294895E-2</v>
      </c>
      <c r="D1492">
        <f>LOG10(3.631818)</f>
        <v>0.56012407674988318</v>
      </c>
    </row>
    <row r="1493" spans="1:4">
      <c r="A1493">
        <v>1.0206459999999999</v>
      </c>
      <c r="B1493">
        <v>3.5129220000000001</v>
      </c>
      <c r="C1493">
        <f>LOG10(1.020646)</f>
        <v>8.8751378703766717E-3</v>
      </c>
      <c r="D1493">
        <f>LOG10(3.512922)</f>
        <v>0.54566850693815105</v>
      </c>
    </row>
    <row r="1494" spans="1:4">
      <c r="A1494">
        <v>1.0289950000000001</v>
      </c>
      <c r="B1494">
        <v>3.6464180000000002</v>
      </c>
      <c r="C1494">
        <f>LOG10(1.028995)</f>
        <v>1.2413264482855501E-2</v>
      </c>
      <c r="D1494">
        <f>LOG10(3.646418)</f>
        <v>0.56186645167169413</v>
      </c>
    </row>
    <row r="1495" spans="1:4">
      <c r="A1495">
        <v>1.030958</v>
      </c>
      <c r="B1495">
        <v>3.527285</v>
      </c>
      <c r="C1495">
        <f>LOG10(1.030958)</f>
        <v>1.3240973004389192E-2</v>
      </c>
      <c r="D1495">
        <f>LOG10(3.527285)</f>
        <v>0.54744055150951465</v>
      </c>
    </row>
    <row r="1496" spans="1:4">
      <c r="A1496">
        <v>1.018162</v>
      </c>
      <c r="B1496">
        <v>3.7026789999999998</v>
      </c>
      <c r="C1496">
        <f>LOG10(1.018162)</f>
        <v>7.816884197807546E-3</v>
      </c>
      <c r="D1496">
        <f>LOG10(3.702679)</f>
        <v>0.56851606296182255</v>
      </c>
    </row>
    <row r="1497" spans="1:4">
      <c r="A1497">
        <v>1.021201</v>
      </c>
      <c r="B1497">
        <v>3.8249369999999998</v>
      </c>
      <c r="C1497">
        <f>LOG10(1.021201)</f>
        <v>9.1112314105805791E-3</v>
      </c>
      <c r="D1497">
        <f>LOG10(3.824937)</f>
        <v>0.58262428634514374</v>
      </c>
    </row>
    <row r="1498" spans="1:4">
      <c r="A1498">
        <v>1.0220990000000001</v>
      </c>
      <c r="B1498">
        <v>3.805221</v>
      </c>
      <c r="C1498">
        <f>LOG10(1.022099)</f>
        <v>9.4929633832307615E-3</v>
      </c>
      <c r="D1498">
        <f>LOG10(3.805221)</f>
        <v>0.58037988483676384</v>
      </c>
    </row>
    <row r="1499" spans="1:4">
      <c r="A1499">
        <v>1.025814</v>
      </c>
      <c r="B1499">
        <v>3.953605</v>
      </c>
      <c r="C1499">
        <f>LOG10(1.025814)</f>
        <v>1.1068621890250071E-2</v>
      </c>
      <c r="D1499">
        <f>LOG10(3.953605)</f>
        <v>0.59699327729693485</v>
      </c>
    </row>
    <row r="1500" spans="1:4">
      <c r="A1500">
        <v>1.019682</v>
      </c>
      <c r="B1500">
        <v>3.8081610000000001</v>
      </c>
      <c r="C1500">
        <f>LOG10(1.019682)</f>
        <v>8.464752960002148E-3</v>
      </c>
      <c r="D1500">
        <f>LOG10(3.808161)</f>
        <v>0.58071530103951396</v>
      </c>
    </row>
    <row r="1501" spans="1:4">
      <c r="A1501">
        <v>1.0360780000000001</v>
      </c>
      <c r="B1501">
        <v>4.0756230000000002</v>
      </c>
      <c r="C1501">
        <f>LOG10(1.036078)</f>
        <v>1.5392452025465611E-2</v>
      </c>
      <c r="D1501">
        <f>LOG10(4.075623)</f>
        <v>0.61019400443350336</v>
      </c>
    </row>
    <row r="1502" spans="1:4">
      <c r="A1502">
        <v>1.031501</v>
      </c>
      <c r="B1502">
        <v>4.1699549999999999</v>
      </c>
      <c r="C1502">
        <f>LOG10(1.031501)</f>
        <v>1.3469653340940984E-2</v>
      </c>
      <c r="D1502">
        <f>LOG10(4.169955)</f>
        <v>0.62013136831737004</v>
      </c>
    </row>
    <row r="1503" spans="1:4">
      <c r="A1503">
        <v>1.0168379999999999</v>
      </c>
      <c r="B1503">
        <v>4.1989900000000002</v>
      </c>
      <c r="C1503">
        <f>LOG10(1.016838)</f>
        <v>7.2517677602909926E-3</v>
      </c>
      <c r="D1503">
        <f>LOG10(4.19899)</f>
        <v>0.62314484035597006</v>
      </c>
    </row>
    <row r="1504" spans="1:4">
      <c r="A1504">
        <v>1.0232399999999999</v>
      </c>
      <c r="B1504">
        <v>4.3946339999999999</v>
      </c>
      <c r="C1504">
        <f>LOG10(1.02324)</f>
        <v>9.977509030925015E-3</v>
      </c>
      <c r="D1504">
        <f>LOG10(4.394634)</f>
        <v>0.64292271140086821</v>
      </c>
    </row>
    <row r="1505" spans="1:4">
      <c r="A1505">
        <v>1.0193639999999999</v>
      </c>
      <c r="B1505">
        <v>4.4205629999999996</v>
      </c>
      <c r="C1505">
        <f>LOG10(1.019364)</f>
        <v>8.3292919195303572E-3</v>
      </c>
      <c r="D1505">
        <f>LOG10(4.420563)</f>
        <v>0.64547758433155211</v>
      </c>
    </row>
    <row r="1506" spans="1:4">
      <c r="A1506">
        <v>1.019771</v>
      </c>
      <c r="B1506">
        <v>4.4002129999999999</v>
      </c>
      <c r="C1506">
        <f>LOG10(1.019771)</f>
        <v>8.5026574460716261E-3</v>
      </c>
      <c r="D1506">
        <f>LOG10(4.400213)</f>
        <v>0.64347369977838809</v>
      </c>
    </row>
    <row r="1507" spans="1:4">
      <c r="A1507">
        <v>1.1360950000000001</v>
      </c>
      <c r="B1507">
        <v>4.4939049999999998</v>
      </c>
      <c r="C1507">
        <f>LOG10(1.136095)</f>
        <v>5.5414648497131742E-2</v>
      </c>
      <c r="D1507">
        <f>LOG10(4.493905)</f>
        <v>0.6526238873061031</v>
      </c>
    </row>
    <row r="1508" spans="1:4">
      <c r="A1508">
        <v>1.140719</v>
      </c>
      <c r="B1508">
        <v>4.3588699999999996</v>
      </c>
      <c r="C1508">
        <f>LOG10(1.140719)</f>
        <v>5.7178675286580327E-2</v>
      </c>
      <c r="D1508">
        <f>LOG10(4.35887)</f>
        <v>0.63937391670647681</v>
      </c>
    </row>
    <row r="1509" spans="1:4">
      <c r="A1509">
        <v>1.142857</v>
      </c>
      <c r="B1509">
        <v>4.0308279999999996</v>
      </c>
      <c r="C1509">
        <f>LOG10(1.142857)</f>
        <v>5.7991892690873126E-2</v>
      </c>
      <c r="D1509">
        <f>LOG10(4.030828)</f>
        <v>0.60539426671057961</v>
      </c>
    </row>
    <row r="1510" spans="1:4">
      <c r="A1510">
        <v>1.1635709999999999</v>
      </c>
      <c r="B1510">
        <v>4.2667109999999999</v>
      </c>
      <c r="C1510">
        <f>LOG10(1.163571)</f>
        <v>6.5792888669106722E-2</v>
      </c>
      <c r="D1510">
        <f>LOG10(4.266711)</f>
        <v>0.63009322749586283</v>
      </c>
    </row>
    <row r="1511" spans="1:4">
      <c r="A1511">
        <v>1.1582490000000001</v>
      </c>
      <c r="B1511">
        <v>4.374962</v>
      </c>
      <c r="C1511">
        <f>LOG10(1.158249)</f>
        <v>6.3801933917567666E-2</v>
      </c>
      <c r="D1511">
        <f>LOG10(4.374962)</f>
        <v>0.64097428518416433</v>
      </c>
    </row>
    <row r="1512" spans="1:4">
      <c r="A1512">
        <v>1.1468469999999999</v>
      </c>
      <c r="B1512">
        <v>4.3332829999999998</v>
      </c>
      <c r="C1512">
        <f>LOG10(1.146847)</f>
        <v>5.9505482863900533E-2</v>
      </c>
      <c r="D1512">
        <f>LOG10(4.333283)</f>
        <v>0.63681705306043357</v>
      </c>
    </row>
    <row r="1513" spans="1:4">
      <c r="A1513">
        <v>1.1629879999999999</v>
      </c>
      <c r="B1513">
        <v>4.5921919999999998</v>
      </c>
      <c r="C1513">
        <f>LOG10(1.162988)</f>
        <v>6.5575233592876842E-2</v>
      </c>
      <c r="D1513">
        <f>LOG10(4.592192)</f>
        <v>0.66202003766459983</v>
      </c>
    </row>
    <row r="1514" spans="1:4">
      <c r="A1514">
        <v>1.134134</v>
      </c>
      <c r="B1514">
        <v>4.5033789999999998</v>
      </c>
      <c r="C1514">
        <f>LOG10(1.134134)</f>
        <v>5.4664370273369019E-2</v>
      </c>
      <c r="D1514">
        <f>LOG10(4.503379)</f>
        <v>0.65353849830254185</v>
      </c>
    </row>
    <row r="1515" spans="1:4">
      <c r="A1515">
        <v>1.0963750000000001</v>
      </c>
      <c r="B1515">
        <v>4.1619539999999997</v>
      </c>
      <c r="C1515">
        <f>LOG10(1.096375)</f>
        <v>3.9959124016463288E-2</v>
      </c>
      <c r="D1515">
        <f>LOG10(4.161954)</f>
        <v>0.61929727586201655</v>
      </c>
    </row>
    <row r="1516" spans="1:4">
      <c r="A1516">
        <v>1.1278109999999999</v>
      </c>
      <c r="B1516">
        <v>3.9532850000000002</v>
      </c>
      <c r="C1516">
        <f>LOG10(1.127811)</f>
        <v>5.223632612394602E-2</v>
      </c>
      <c r="D1516">
        <f>LOG10(3.953285)</f>
        <v>0.59695812460497011</v>
      </c>
    </row>
    <row r="1517" spans="1:4">
      <c r="A1517">
        <v>1.090827</v>
      </c>
      <c r="B1517">
        <v>4.1703869999999998</v>
      </c>
      <c r="C1517">
        <f>LOG10(1.090827)</f>
        <v>3.7755878999965048E-2</v>
      </c>
      <c r="D1517">
        <f>LOG10(4.170387)</f>
        <v>0.6201763581310612</v>
      </c>
    </row>
    <row r="1518" spans="1:4">
      <c r="A1518">
        <v>1.1261190000000001</v>
      </c>
      <c r="B1518">
        <v>3.7650220000000001</v>
      </c>
      <c r="C1518">
        <f>LOG10(1.126119)</f>
        <v>5.1584285997222139E-2</v>
      </c>
      <c r="D1518">
        <f>LOG10(3.765022)</f>
        <v>0.57576751823942518</v>
      </c>
    </row>
    <row r="1519" spans="1:4">
      <c r="A1519">
        <v>1.133578</v>
      </c>
      <c r="B1519">
        <v>3.9912100000000001</v>
      </c>
      <c r="C1519">
        <f>LOG10(1.133578)</f>
        <v>5.4451408718483106E-2</v>
      </c>
      <c r="D1519">
        <f>LOG10(3.99121)</f>
        <v>0.60110457905985304</v>
      </c>
    </row>
    <row r="1520" spans="1:4">
      <c r="A1520">
        <v>1.1114790000000001</v>
      </c>
      <c r="B1520">
        <v>3.5834239999999999</v>
      </c>
      <c r="C1520">
        <f>LOG10(1.111479)</f>
        <v>4.5901261663640454E-2</v>
      </c>
      <c r="D1520">
        <f>LOG10(3.583424)</f>
        <v>0.55429819805332403</v>
      </c>
    </row>
    <row r="1521" spans="1:4">
      <c r="A1521">
        <v>1.116196</v>
      </c>
      <c r="B1521">
        <v>3.5736539999999999</v>
      </c>
      <c r="C1521">
        <f>LOG10(1.116196)</f>
        <v>4.7740461845719312E-2</v>
      </c>
      <c r="D1521">
        <f>LOG10(3.573654)</f>
        <v>0.55311250195674044</v>
      </c>
    </row>
    <row r="1522" spans="1:4">
      <c r="A1522">
        <v>1.0923369999999999</v>
      </c>
      <c r="B1522">
        <v>3.7643620000000002</v>
      </c>
      <c r="C1522">
        <f>LOG10(1.092337)</f>
        <v>3.8356644469024898E-2</v>
      </c>
      <c r="D1522">
        <f>LOG10(3.764362)</f>
        <v>0.57569138070711434</v>
      </c>
    </row>
    <row r="1523" spans="1:4">
      <c r="A1523">
        <v>1.084095</v>
      </c>
      <c r="B1523">
        <v>4.0299719999999999</v>
      </c>
      <c r="C1523">
        <f>LOG10(1.084095)</f>
        <v>3.5067341397935867E-2</v>
      </c>
      <c r="D1523">
        <f>LOG10(4.029972)</f>
        <v>0.60530202869998351</v>
      </c>
    </row>
    <row r="1524" spans="1:4">
      <c r="A1524">
        <v>1.0586230000000001</v>
      </c>
      <c r="B1524">
        <v>4.1952509999999998</v>
      </c>
      <c r="C1524">
        <f>LOG10(1.058623)</f>
        <v>2.4741325386000337E-2</v>
      </c>
      <c r="D1524">
        <f>LOG10(4.195251)</f>
        <v>0.62275794958759034</v>
      </c>
    </row>
    <row r="1525" spans="1:4">
      <c r="A1525">
        <v>1.0639179999999999</v>
      </c>
      <c r="B1525">
        <v>4.3261060000000002</v>
      </c>
      <c r="C1525">
        <f>LOG10(1.063918)</f>
        <v>2.6908156605778239E-2</v>
      </c>
      <c r="D1525">
        <f>LOG10(4.326106)</f>
        <v>0.6360971564925989</v>
      </c>
    </row>
    <row r="1526" spans="1:4">
      <c r="A1526">
        <v>1.103502</v>
      </c>
      <c r="B1526">
        <v>4.133705</v>
      </c>
      <c r="C1526">
        <f>LOG10(1.103502)</f>
        <v>4.2773124618812657E-2</v>
      </c>
      <c r="D1526">
        <f>LOG10(4.133705)</f>
        <v>0.61633948016655871</v>
      </c>
    </row>
    <row r="1527" spans="1:4">
      <c r="A1527">
        <v>1.07189</v>
      </c>
      <c r="B1527">
        <v>4.2691929999999996</v>
      </c>
      <c r="C1527">
        <f>LOG10(1.07189)</f>
        <v>3.0150219270756808E-2</v>
      </c>
      <c r="D1527">
        <f>LOG10(4.269193)</f>
        <v>0.63034578866207613</v>
      </c>
    </row>
    <row r="1528" spans="1:4">
      <c r="A1528">
        <v>1.0682700000000001</v>
      </c>
      <c r="B1528">
        <v>4.2068199999999996</v>
      </c>
      <c r="C1528">
        <f>LOG10(1.06827)</f>
        <v>2.868103236527399E-2</v>
      </c>
      <c r="D1528">
        <f>LOG10(4.20682)</f>
        <v>0.62395392996823495</v>
      </c>
    </row>
    <row r="1529" spans="1:4">
      <c r="A1529">
        <v>1.0577430000000001</v>
      </c>
      <c r="B1529">
        <v>4.2785060000000001</v>
      </c>
      <c r="C1529">
        <f>LOG10(1.057743)</f>
        <v>2.438015991074648E-2</v>
      </c>
      <c r="D1529">
        <f>LOG10(4.278506)</f>
        <v>0.63129214536237277</v>
      </c>
    </row>
    <row r="1530" spans="1:4">
      <c r="A1530">
        <v>1.0835049999999999</v>
      </c>
      <c r="B1530">
        <v>3.9260999999999999</v>
      </c>
      <c r="C1530">
        <f>LOG10(1.083505)</f>
        <v>3.4830919778955541E-2</v>
      </c>
      <c r="D1530">
        <f>LOG10(3.9261)</f>
        <v>0.59396135713232645</v>
      </c>
    </row>
    <row r="1531" spans="1:4">
      <c r="A1531">
        <v>1.0786469999999999</v>
      </c>
      <c r="B1531">
        <v>3.997824</v>
      </c>
      <c r="C1531">
        <f>LOG10(1.078647)</f>
        <v>3.2879339923902642E-2</v>
      </c>
      <c r="D1531">
        <f>LOG10(3.997824)</f>
        <v>0.60182367084480604</v>
      </c>
    </row>
    <row r="1532" spans="1:4">
      <c r="A1532">
        <v>1.043291</v>
      </c>
      <c r="B1532">
        <v>4.1045509999999998</v>
      </c>
      <c r="C1532">
        <f>LOG10(1.043291)</f>
        <v>1.8405460935987522E-2</v>
      </c>
      <c r="D1532">
        <f>LOG10(4.104551)</f>
        <v>0.61326565624535267</v>
      </c>
    </row>
    <row r="1533" spans="1:4">
      <c r="A1533">
        <v>1.0505199999999999</v>
      </c>
      <c r="B1533">
        <v>4.1195740000000001</v>
      </c>
      <c r="C1533">
        <f>LOG10(1.05052)</f>
        <v>2.1404325001805447E-2</v>
      </c>
      <c r="D1533">
        <f>LOG10(4.119574)</f>
        <v>0.6148523085052805</v>
      </c>
    </row>
    <row r="1534" spans="1:4">
      <c r="A1534">
        <v>1.0603800000000001</v>
      </c>
      <c r="B1534">
        <v>4.0834000000000001</v>
      </c>
      <c r="C1534">
        <f>LOG10(1.06038)</f>
        <v>2.5461527839299405E-2</v>
      </c>
      <c r="D1534">
        <f>LOG10(4.0834)</f>
        <v>0.61102192444516124</v>
      </c>
    </row>
    <row r="1535" spans="1:4">
      <c r="A1535">
        <v>1.0624610000000001</v>
      </c>
      <c r="B1535">
        <v>3.983876</v>
      </c>
      <c r="C1535">
        <f>LOG10(1.062461)</f>
        <v>2.6312997267615545E-2</v>
      </c>
      <c r="D1535">
        <f>LOG10(3.983876)</f>
        <v>0.60030581234356883</v>
      </c>
    </row>
    <row r="1536" spans="1:4">
      <c r="A1536">
        <v>1.077774</v>
      </c>
      <c r="B1536">
        <v>4.0747580000000001</v>
      </c>
      <c r="C1536">
        <f>LOG10(1.077774)</f>
        <v>3.252770255493407E-2</v>
      </c>
      <c r="D1536">
        <f>LOG10(4.074758)</f>
        <v>0.6101018210795579</v>
      </c>
    </row>
    <row r="1537" spans="1:4">
      <c r="A1537">
        <v>1.0852440000000001</v>
      </c>
      <c r="B1537">
        <v>3.9589470000000002</v>
      </c>
      <c r="C1537">
        <f>LOG10(1.085244)</f>
        <v>3.5527393428871928E-2</v>
      </c>
      <c r="D1537">
        <f>LOG10(3.958947)</f>
        <v>0.59757968771795023</v>
      </c>
    </row>
    <row r="1538" spans="1:4">
      <c r="A1538">
        <v>1.106455</v>
      </c>
      <c r="B1538">
        <v>3.7913749999999999</v>
      </c>
      <c r="C1538">
        <f>LOG10(1.106455)</f>
        <v>4.3933755679366679E-2</v>
      </c>
      <c r="D1538">
        <f>LOG10(3.791375)</f>
        <v>0.57879674205668807</v>
      </c>
    </row>
    <row r="1539" spans="1:4">
      <c r="A1539">
        <v>1.0912770000000001</v>
      </c>
      <c r="B1539">
        <v>3.5150999999999999</v>
      </c>
      <c r="C1539">
        <f>LOG10(1.091277)</f>
        <v>3.7935002011175271E-2</v>
      </c>
      <c r="D1539">
        <f>LOG10(3.5151)</f>
        <v>0.5459376846418823</v>
      </c>
    </row>
    <row r="1540" spans="1:4">
      <c r="A1540">
        <v>1.1106769999999999</v>
      </c>
      <c r="B1540">
        <v>3.3934950000000002</v>
      </c>
      <c r="C1540">
        <f>LOG10(1.110677)</f>
        <v>4.5587778551195189E-2</v>
      </c>
      <c r="D1540">
        <f>LOG10(3.393495)</f>
        <v>0.53064721363533607</v>
      </c>
    </row>
    <row r="1541" spans="1:4">
      <c r="A1541">
        <v>1.0765309999999999</v>
      </c>
      <c r="B1541">
        <v>3.4188489999999998</v>
      </c>
      <c r="C1541">
        <f>LOG10(1.076531)</f>
        <v>3.2026540369532598E-2</v>
      </c>
      <c r="D1541">
        <f>LOG10(3.418849)</f>
        <v>0.53387991977438187</v>
      </c>
    </row>
    <row r="1542" spans="1:4">
      <c r="A1542">
        <v>1.0733699999999999</v>
      </c>
      <c r="B1542">
        <v>3.4260329999999999</v>
      </c>
      <c r="C1542">
        <f>LOG10(1.07337)</f>
        <v>3.0749452869659081E-2</v>
      </c>
      <c r="D1542">
        <f>LOG10(3.426033)</f>
        <v>0.53479154183114963</v>
      </c>
    </row>
    <row r="1543" spans="1:4">
      <c r="A1543">
        <v>1.1021069999999999</v>
      </c>
      <c r="B1543">
        <v>3.5186139999999999</v>
      </c>
      <c r="C1543">
        <f>LOG10(1.102107)</f>
        <v>4.2223760807693203E-2</v>
      </c>
      <c r="D1543">
        <f>LOG10(3.518614)</f>
        <v>0.54637162635073688</v>
      </c>
    </row>
    <row r="1544" spans="1:4">
      <c r="A1544">
        <v>1.0913310000000001</v>
      </c>
      <c r="B1544">
        <v>3.436779</v>
      </c>
      <c r="C1544">
        <f>LOG10(1.091331)</f>
        <v>3.7956491808727157E-2</v>
      </c>
      <c r="D1544">
        <f>LOG10(3.436779)</f>
        <v>0.53615160599047729</v>
      </c>
    </row>
    <row r="1545" spans="1:4">
      <c r="A1545">
        <v>1.089434</v>
      </c>
      <c r="B1545">
        <v>3.419454</v>
      </c>
      <c r="C1545">
        <f>LOG10(1.089434)</f>
        <v>3.7200924987018789E-2</v>
      </c>
      <c r="D1545">
        <f>LOG10(3.419454)</f>
        <v>0.53395676578785545</v>
      </c>
    </row>
    <row r="1546" spans="1:4">
      <c r="A1546">
        <v>1.1006469999999999</v>
      </c>
      <c r="B1546">
        <v>3.5369009999999999</v>
      </c>
      <c r="C1546">
        <f>LOG10(1.100647)</f>
        <v>4.1648054181868961E-2</v>
      </c>
      <c r="D1546">
        <f>LOG10(3.536901)</f>
        <v>0.54862290381943546</v>
      </c>
    </row>
    <row r="1547" spans="1:4">
      <c r="A1547">
        <v>1.0658719999999999</v>
      </c>
      <c r="B1547">
        <v>3.5092699999999999</v>
      </c>
      <c r="C1547">
        <f>LOG10(1.065872)</f>
        <v>2.7705053629185378E-2</v>
      </c>
      <c r="D1547">
        <f>LOG10(3.50927)</f>
        <v>0.54521678371813598</v>
      </c>
    </row>
    <row r="1548" spans="1:4">
      <c r="A1548">
        <v>1.108417</v>
      </c>
      <c r="B1548">
        <v>3.6387269999999998</v>
      </c>
      <c r="C1548">
        <f>LOG10(1.108417)</f>
        <v>4.4703178017425071E-2</v>
      </c>
      <c r="D1548">
        <f>LOG10(3.638727)</f>
        <v>0.56094947332707257</v>
      </c>
    </row>
    <row r="1549" spans="1:4">
      <c r="A1549">
        <v>1.104924</v>
      </c>
      <c r="B1549">
        <v>3.445014</v>
      </c>
      <c r="C1549">
        <f>LOG10(1.104924)</f>
        <v>4.3332406966163223E-2</v>
      </c>
      <c r="D1549">
        <f>LOG10(3.445014)</f>
        <v>0.53719099115232161</v>
      </c>
    </row>
    <row r="1550" spans="1:4">
      <c r="A1550">
        <v>1.0830850000000001</v>
      </c>
      <c r="B1550">
        <v>3.4852059999999998</v>
      </c>
      <c r="C1550">
        <f>LOG10(1.083085)</f>
        <v>3.4662541188927753E-2</v>
      </c>
      <c r="D1550">
        <f>LOG10(3.485206)</f>
        <v>0.54222845302778055</v>
      </c>
    </row>
    <row r="1551" spans="1:4">
      <c r="A1551">
        <v>1.107021</v>
      </c>
      <c r="B1551">
        <v>3.5820940000000001</v>
      </c>
      <c r="C1551">
        <f>LOG10(1.107021)</f>
        <v>4.4155859449287634E-2</v>
      </c>
      <c r="D1551">
        <f>LOG10(3.582094)</f>
        <v>0.55413697825942654</v>
      </c>
    </row>
    <row r="1552" spans="1:4">
      <c r="A1552">
        <v>1.1149370000000001</v>
      </c>
      <c r="B1552">
        <v>3.5540949999999998</v>
      </c>
      <c r="C1552">
        <f>LOG10(1.114937)</f>
        <v>4.7250328078928115E-2</v>
      </c>
      <c r="D1552">
        <f>LOG10(3.554095)</f>
        <v>0.5507290321987055</v>
      </c>
    </row>
    <row r="1553" spans="1:4">
      <c r="A1553">
        <v>1.0897730000000001</v>
      </c>
      <c r="B1553">
        <v>3.834362</v>
      </c>
      <c r="C1553">
        <f>LOG10(1.089773)</f>
        <v>3.7336043707317343E-2</v>
      </c>
      <c r="D1553">
        <f>LOG10(3.834362)</f>
        <v>0.58369311197995288</v>
      </c>
    </row>
    <row r="1554" spans="1:4">
      <c r="A1554">
        <v>1.0823940000000001</v>
      </c>
      <c r="B1554">
        <v>3.4974820000000002</v>
      </c>
      <c r="C1554">
        <f>LOG10(1.082394)</f>
        <v>3.4385376185544381E-2</v>
      </c>
      <c r="D1554">
        <f>LOG10(3.497482)</f>
        <v>0.54375548804712748</v>
      </c>
    </row>
    <row r="1555" spans="1:4">
      <c r="A1555">
        <v>1.0268520000000001</v>
      </c>
      <c r="B1555">
        <v>4.561782</v>
      </c>
      <c r="C1555">
        <f>LOG10(1.026852)</f>
        <v>1.1507853319660442E-2</v>
      </c>
      <c r="D1555">
        <f>LOG10(4.561782)</f>
        <v>0.65913452722313126</v>
      </c>
    </row>
    <row r="1556" spans="1:4">
      <c r="A1556">
        <v>1.0188619999999999</v>
      </c>
      <c r="B1556">
        <v>4.2028210000000001</v>
      </c>
      <c r="C1556">
        <f>LOG10(1.018862)</f>
        <v>8.1153648728498444E-3</v>
      </c>
      <c r="D1556">
        <f>LOG10(4.202821)</f>
        <v>0.6235408936057939</v>
      </c>
    </row>
    <row r="1557" spans="1:4">
      <c r="A1557">
        <v>1.026054</v>
      </c>
      <c r="B1557">
        <v>4.1434730000000002</v>
      </c>
      <c r="C1557">
        <f>LOG10(1.026054)</f>
        <v>1.1170217778613377E-2</v>
      </c>
      <c r="D1557">
        <f>LOG10(4.143473)</f>
        <v>0.6173645132076625</v>
      </c>
    </row>
    <row r="1558" spans="1:4">
      <c r="A1558">
        <v>1.0293369999999999</v>
      </c>
      <c r="B1558">
        <v>4.6019959999999998</v>
      </c>
      <c r="C1558">
        <f>LOG10(1.029337)</f>
        <v>1.2557583974733061E-2</v>
      </c>
      <c r="D1558">
        <f>LOG10(4.601996)</f>
        <v>0.66294623684920806</v>
      </c>
    </row>
    <row r="1559" spans="1:4">
      <c r="A1559">
        <v>1.0186519999999999</v>
      </c>
      <c r="B1559">
        <v>4.5427920000000004</v>
      </c>
      <c r="C1559">
        <f>LOG10(1.018652)</f>
        <v>8.0258422079526794E-3</v>
      </c>
      <c r="D1559">
        <f>LOG10(4.542792)</f>
        <v>0.65732285230653886</v>
      </c>
    </row>
    <row r="1560" spans="1:4">
      <c r="A1560">
        <v>1.0176620000000001</v>
      </c>
      <c r="B1560">
        <v>4.6543840000000003</v>
      </c>
      <c r="C1560">
        <f>LOG10(1.017662)</f>
        <v>7.6035580504414746E-3</v>
      </c>
      <c r="D1560">
        <f>LOG10(4.654384)</f>
        <v>0.66786221096648224</v>
      </c>
    </row>
    <row r="1561" spans="1:4">
      <c r="A1561">
        <v>1.0164949999999999</v>
      </c>
      <c r="B1561">
        <v>4.8355040000000002</v>
      </c>
      <c r="C1561">
        <f>LOG10(1.016495)</f>
        <v>7.1052467441015512E-3</v>
      </c>
      <c r="D1561">
        <f>LOG10(4.835504)</f>
        <v>0.6844417468805355</v>
      </c>
    </row>
    <row r="1562" spans="1:4">
      <c r="A1562">
        <v>1.021792</v>
      </c>
      <c r="B1562">
        <v>4.7550179999999997</v>
      </c>
      <c r="C1562">
        <f>LOG10(1.021792)</f>
        <v>9.362498102110579E-3</v>
      </c>
      <c r="D1562">
        <f>LOG10(4.755018)</f>
        <v>0.67715216528728717</v>
      </c>
    </row>
    <row r="1563" spans="1:4">
      <c r="A1563">
        <v>1.012594</v>
      </c>
      <c r="B1563">
        <v>4.2949419999999998</v>
      </c>
      <c r="C1563">
        <f>LOG10(1.012594)</f>
        <v>5.4353497004256479E-3</v>
      </c>
      <c r="D1563">
        <f>LOG10(4.294942)</f>
        <v>0.63295730338262091</v>
      </c>
    </row>
    <row r="1564" spans="1:4">
      <c r="A1564">
        <v>1.0146459999999999</v>
      </c>
      <c r="B1564">
        <v>3.9846400000000002</v>
      </c>
      <c r="C1564">
        <f>LOG10(1.014646)</f>
        <v>6.3145476061730529E-3</v>
      </c>
      <c r="D1564">
        <f>LOG10(3.98464)</f>
        <v>0.60038909033038368</v>
      </c>
    </row>
    <row r="1565" spans="1:4">
      <c r="A1565">
        <v>1.0149410000000001</v>
      </c>
      <c r="B1565">
        <v>3.9962499999999999</v>
      </c>
      <c r="C1565">
        <f>LOG10(1.014941)</f>
        <v>6.4407968116160811E-3</v>
      </c>
      <c r="D1565">
        <f>LOG10(3.99625)</f>
        <v>0.60165264927974438</v>
      </c>
    </row>
    <row r="1566" spans="1:4">
      <c r="A1566">
        <v>1.020605</v>
      </c>
      <c r="B1566">
        <v>3.7351100000000002</v>
      </c>
      <c r="C1566">
        <f>LOG10(1.020605)</f>
        <v>8.8576916339653637E-3</v>
      </c>
      <c r="D1566">
        <f>LOG10(3.73511)</f>
        <v>0.57230339642974359</v>
      </c>
    </row>
    <row r="1567" spans="1:4">
      <c r="A1567">
        <v>1.024394</v>
      </c>
      <c r="B1567">
        <v>3.887003</v>
      </c>
      <c r="C1567">
        <f>LOG10(1.024394)</f>
        <v>1.0467026088345875E-2</v>
      </c>
      <c r="D1567">
        <f>LOG10(3.887003)</f>
        <v>0.58961487582111538</v>
      </c>
    </row>
    <row r="1568" spans="1:4">
      <c r="A1568">
        <v>1.0266649999999999</v>
      </c>
      <c r="B1568">
        <v>3.798702</v>
      </c>
      <c r="C1568">
        <f>LOG10(1.026665)</f>
        <v>1.1428756756699956E-2</v>
      </c>
      <c r="D1568">
        <f>LOG10(3.798702)</f>
        <v>0.57963522542315282</v>
      </c>
    </row>
    <row r="1569" spans="1:4">
      <c r="A1569">
        <v>1.0217039999999999</v>
      </c>
      <c r="B1569">
        <v>3.7017579999999999</v>
      </c>
      <c r="C1569">
        <f>LOG10(1.021704)</f>
        <v>9.3250936594973834E-3</v>
      </c>
      <c r="D1569">
        <f>LOG10(3.701758)</f>
        <v>0.56840802362813769</v>
      </c>
    </row>
    <row r="1570" spans="1:4">
      <c r="A1570">
        <v>1.020186</v>
      </c>
      <c r="B1570">
        <v>3.8395899999999998</v>
      </c>
      <c r="C1570">
        <f>LOG10(1.020186)</f>
        <v>8.6793594181977449E-3</v>
      </c>
      <c r="D1570">
        <f>LOG10(3.83959)</f>
        <v>0.58428485190812873</v>
      </c>
    </row>
    <row r="1571" spans="1:4">
      <c r="A1571">
        <v>1.0564659999999999</v>
      </c>
      <c r="B1571">
        <v>4.0800340000000004</v>
      </c>
      <c r="C1571">
        <f>LOG10(1.056466)</f>
        <v>2.3855524814751693E-2</v>
      </c>
      <c r="D1571">
        <f>LOG10(4.080034)</f>
        <v>0.6106637821954829</v>
      </c>
    </row>
    <row r="1572" spans="1:4">
      <c r="A1572">
        <v>1.043569</v>
      </c>
      <c r="B1572">
        <v>4.2774840000000003</v>
      </c>
      <c r="C1572">
        <f>LOG10(1.043569)</f>
        <v>1.852116957641696E-2</v>
      </c>
      <c r="D1572">
        <f>LOG10(4.277484)</f>
        <v>0.63118839373044799</v>
      </c>
    </row>
    <row r="1573" spans="1:4">
      <c r="A1573">
        <v>1.028905</v>
      </c>
      <c r="B1573">
        <v>4.3701150000000002</v>
      </c>
      <c r="C1573">
        <f>LOG10(1.028905)</f>
        <v>1.2375277696912282E-2</v>
      </c>
      <c r="D1573">
        <f>LOG10(4.370115)</f>
        <v>0.64049286562220087</v>
      </c>
    </row>
    <row r="1574" spans="1:4">
      <c r="A1574">
        <v>1.0559780000000001</v>
      </c>
      <c r="B1574">
        <v>4.1940530000000003</v>
      </c>
      <c r="C1574">
        <f>LOG10(1.055978)</f>
        <v>2.3654870301837928E-2</v>
      </c>
      <c r="D1574">
        <f>LOG10(4.194053)</f>
        <v>0.6226339143177142</v>
      </c>
    </row>
    <row r="1575" spans="1:4">
      <c r="A1575">
        <v>1.0465610000000001</v>
      </c>
      <c r="B1575">
        <v>4.2846929999999999</v>
      </c>
      <c r="C1575">
        <f>LOG10(1.046561)</f>
        <v>1.9764546761015842E-2</v>
      </c>
      <c r="D1575">
        <f>LOG10(4.284693)</f>
        <v>0.63191970999729219</v>
      </c>
    </row>
    <row r="1576" spans="1:4">
      <c r="A1576">
        <v>1.0294209999999999</v>
      </c>
      <c r="B1576">
        <v>4.2944930000000001</v>
      </c>
      <c r="C1576">
        <f>LOG10(1.029421)</f>
        <v>1.2593023532466515E-2</v>
      </c>
      <c r="D1576">
        <f>LOG10(4.294493)</f>
        <v>0.63291189918023694</v>
      </c>
    </row>
    <row r="1577" spans="1:4">
      <c r="A1577">
        <v>1.034402</v>
      </c>
      <c r="B1577">
        <v>4.2889559999999998</v>
      </c>
      <c r="C1577">
        <f>LOG10(1.034402)</f>
        <v>1.4689351574700466E-2</v>
      </c>
      <c r="D1577">
        <f>LOG10(4.288956)</f>
        <v>0.63235159087530024</v>
      </c>
    </row>
    <row r="1578" spans="1:4">
      <c r="A1578">
        <v>1.0366820000000001</v>
      </c>
      <c r="B1578">
        <v>4.0052690000000002</v>
      </c>
      <c r="C1578">
        <f>LOG10(1.036682)</f>
        <v>1.5645557907954886E-2</v>
      </c>
      <c r="D1578">
        <f>LOG10(4.005269)</f>
        <v>0.60263168928229494</v>
      </c>
    </row>
    <row r="1579" spans="1:4">
      <c r="A1579">
        <v>1.0444990000000001</v>
      </c>
      <c r="B1579">
        <v>3.951962</v>
      </c>
      <c r="C1579">
        <f>LOG10(1.044499)</f>
        <v>1.8908028524379304E-2</v>
      </c>
      <c r="D1579">
        <f>LOG10(3.951962)</f>
        <v>0.59681275998703409</v>
      </c>
    </row>
    <row r="1580" spans="1:4">
      <c r="A1580">
        <v>1.027498</v>
      </c>
      <c r="B1580">
        <v>4.0195939999999997</v>
      </c>
      <c r="C1580">
        <f>LOG10(1.027498)</f>
        <v>1.1780985205226874E-2</v>
      </c>
      <c r="D1580">
        <f>LOG10(4.019594)</f>
        <v>0.60418218928741696</v>
      </c>
    </row>
    <row r="1581" spans="1:4">
      <c r="A1581">
        <v>1.026645</v>
      </c>
      <c r="B1581">
        <v>4.1111550000000001</v>
      </c>
      <c r="C1581">
        <f>LOG10(1.026645)</f>
        <v>1.1420296378444066E-2</v>
      </c>
      <c r="D1581">
        <f>LOG10(4.111155)</f>
        <v>0.61396385098995854</v>
      </c>
    </row>
    <row r="1582" spans="1:4">
      <c r="A1582">
        <v>1.0361689999999999</v>
      </c>
      <c r="B1582">
        <v>4.1492820000000004</v>
      </c>
      <c r="C1582">
        <f>LOG10(1.036169)</f>
        <v>1.5430594966802751E-2</v>
      </c>
      <c r="D1582">
        <f>LOG10(4.149282)</f>
        <v>0.61797295203360503</v>
      </c>
    </row>
    <row r="1583" spans="1:4">
      <c r="A1583">
        <v>1.02847</v>
      </c>
      <c r="B1583">
        <v>3.9604339999999998</v>
      </c>
      <c r="C1583">
        <f>LOG10(1.02847)</f>
        <v>1.2191628043890285E-2</v>
      </c>
      <c r="D1583">
        <f>LOG10(3.960434)</f>
        <v>0.59774278023797911</v>
      </c>
    </row>
    <row r="1584" spans="1:4">
      <c r="A1584">
        <v>1.034211</v>
      </c>
      <c r="B1584">
        <v>4.0878569999999996</v>
      </c>
      <c r="C1584">
        <f>LOG10(1.034211)</f>
        <v>1.4609152672074147E-2</v>
      </c>
      <c r="D1584">
        <f>LOG10(4.087857)</f>
        <v>0.61149569505298906</v>
      </c>
    </row>
    <row r="1585" spans="1:4">
      <c r="A1585">
        <v>1.038079</v>
      </c>
      <c r="B1585">
        <v>4.0691649999999999</v>
      </c>
      <c r="C1585">
        <f>LOG10(1.038079)</f>
        <v>1.6230405495612044E-2</v>
      </c>
      <c r="D1585">
        <f>LOG10(4.069165)</f>
        <v>0.60950530035627304</v>
      </c>
    </row>
    <row r="1586" spans="1:4">
      <c r="A1586">
        <v>1.0158180000000001</v>
      </c>
      <c r="B1586">
        <v>3.8591609999999998</v>
      </c>
      <c r="C1586">
        <f>LOG10(1.015818)</f>
        <v>6.8159041328759292E-3</v>
      </c>
      <c r="D1586">
        <f>LOG10(3.859161)</f>
        <v>0.58649289724282538</v>
      </c>
    </row>
    <row r="1587" spans="1:4">
      <c r="A1587">
        <v>1.0353289999999999</v>
      </c>
      <c r="B1587">
        <v>3.6340979999999998</v>
      </c>
      <c r="C1587">
        <f>LOG10(1.035329)</f>
        <v>1.5078378952310635E-2</v>
      </c>
      <c r="D1587">
        <f>LOG10(3.634098)</f>
        <v>0.56039663466308764</v>
      </c>
    </row>
    <row r="1588" spans="1:4">
      <c r="A1588">
        <v>1.0271170000000001</v>
      </c>
      <c r="B1588">
        <v>3.4246270000000001</v>
      </c>
      <c r="C1588">
        <f>LOG10(1.027117)</f>
        <v>1.1619917365751615E-2</v>
      </c>
      <c r="D1588">
        <f>LOG10(3.424627)</f>
        <v>0.53461327636471878</v>
      </c>
    </row>
    <row r="1589" spans="1:4">
      <c r="A1589">
        <v>1.0318160000000001</v>
      </c>
      <c r="B1589">
        <v>3.5432969999999999</v>
      </c>
      <c r="C1589">
        <f>LOG10(1.031816)</f>
        <v>1.3602258038001474E-2</v>
      </c>
      <c r="D1589">
        <f>LOG10(3.543297)</f>
        <v>0.54940755652600204</v>
      </c>
    </row>
    <row r="1590" spans="1:4">
      <c r="A1590">
        <v>1.021296</v>
      </c>
      <c r="B1590">
        <v>3.4694880000000001</v>
      </c>
      <c r="C1590">
        <f>LOG10(1.021296)</f>
        <v>9.1516309566367464E-3</v>
      </c>
      <c r="D1590">
        <f>LOG10(3.469488)</f>
        <v>0.54026538972432758</v>
      </c>
    </row>
    <row r="1591" spans="1:4">
      <c r="A1591">
        <v>1.032586</v>
      </c>
      <c r="B1591">
        <v>3.624333</v>
      </c>
      <c r="C1591">
        <f>LOG10(1.032586)</f>
        <v>1.39262325028326E-2</v>
      </c>
      <c r="D1591">
        <f>LOG10(3.624333)</f>
        <v>0.55922809336970336</v>
      </c>
    </row>
    <row r="1592" spans="1:4">
      <c r="A1592">
        <v>1.028213</v>
      </c>
      <c r="B1592">
        <v>3.6307800000000001</v>
      </c>
      <c r="C1592">
        <f>LOG10(1.028213)</f>
        <v>1.2083090478859554E-2</v>
      </c>
      <c r="D1592">
        <f>LOG10(3.63078)</f>
        <v>0.55999993448693952</v>
      </c>
    </row>
    <row r="1593" spans="1:4">
      <c r="A1593">
        <v>1.016686</v>
      </c>
      <c r="B1593">
        <v>3.6899220000000001</v>
      </c>
      <c r="C1593">
        <f>LOG10(1.016686)</f>
        <v>7.1868432633367353E-3</v>
      </c>
      <c r="D1593">
        <f>LOG10(3.689922)</f>
        <v>0.56701718585347183</v>
      </c>
    </row>
    <row r="1594" spans="1:4">
      <c r="A1594">
        <v>1.0246139999999999</v>
      </c>
      <c r="B1594">
        <v>3.8420700000000001</v>
      </c>
      <c r="C1594">
        <f>LOG10(1.024614)</f>
        <v>1.0560285642613907E-2</v>
      </c>
      <c r="D1594">
        <f>LOG10(3.84207)</f>
        <v>0.58456527315888462</v>
      </c>
    </row>
    <row r="1595" spans="1:4">
      <c r="A1595">
        <v>1.0172349999999999</v>
      </c>
      <c r="B1595">
        <v>3.849777</v>
      </c>
      <c r="C1595">
        <f>LOG10(1.017235)</f>
        <v>7.4212945290007331E-3</v>
      </c>
      <c r="D1595">
        <f>LOG10(3.849777)</f>
        <v>0.58543557354112874</v>
      </c>
    </row>
    <row r="1596" spans="1:4">
      <c r="A1596">
        <v>1.0382849999999999</v>
      </c>
      <c r="B1596">
        <v>3.8766310000000002</v>
      </c>
      <c r="C1596">
        <f>LOG10(1.038285)</f>
        <v>1.6316579849979172E-2</v>
      </c>
      <c r="D1596">
        <f>LOG10(3.876631)</f>
        <v>0.58845446433180126</v>
      </c>
    </row>
    <row r="1597" spans="1:4">
      <c r="A1597">
        <v>1.150814</v>
      </c>
      <c r="B1597">
        <v>3.7783910000000001</v>
      </c>
      <c r="C1597">
        <f>LOG10(1.150814)</f>
        <v>6.1005136574008995E-2</v>
      </c>
      <c r="D1597">
        <f>LOG10(3.778391)</f>
        <v>0.57730689809505886</v>
      </c>
    </row>
    <row r="1598" spans="1:4">
      <c r="A1598">
        <v>1.113019</v>
      </c>
      <c r="B1598">
        <v>3.8811239999999998</v>
      </c>
      <c r="C1598">
        <f>LOG10(1.113019)</f>
        <v>4.6502578103554272E-2</v>
      </c>
      <c r="D1598">
        <f>LOG10(3.881124)</f>
        <v>0.58895751845644528</v>
      </c>
    </row>
    <row r="1599" spans="1:4">
      <c r="A1599">
        <v>1.0990070000000001</v>
      </c>
      <c r="B1599">
        <v>3.917195</v>
      </c>
      <c r="C1599">
        <f>LOG10(1.099007)</f>
        <v>4.1000458621572158E-2</v>
      </c>
      <c r="D1599">
        <f>LOG10(3.917195)</f>
        <v>0.59297519149069056</v>
      </c>
    </row>
    <row r="1600" spans="1:4">
      <c r="A1600">
        <v>1.033566</v>
      </c>
      <c r="B1600">
        <v>3.9316260000000001</v>
      </c>
      <c r="C1600">
        <f>LOG10(1.033566)</f>
        <v>1.4338214413342371E-2</v>
      </c>
      <c r="D1600">
        <f>LOG10(3.931626)</f>
        <v>0.59457219841201459</v>
      </c>
    </row>
    <row r="1601" spans="1:4">
      <c r="A1601">
        <v>1.0269630000000001</v>
      </c>
      <c r="B1601">
        <v>4.0979640000000002</v>
      </c>
      <c r="C1601">
        <f>LOG10(1.026963)</f>
        <v>1.1554796873523069E-2</v>
      </c>
      <c r="D1601">
        <f>LOG10(4.097964)</f>
        <v>0.61256813886995365</v>
      </c>
    </row>
    <row r="1602" spans="1:4">
      <c r="A1602">
        <v>1.080894</v>
      </c>
      <c r="B1602">
        <v>3.9994830000000001</v>
      </c>
      <c r="C1602">
        <f>LOG10(1.080894)</f>
        <v>3.3783106097366782E-2</v>
      </c>
      <c r="D1602">
        <f>LOG10(3.999483)</f>
        <v>0.60200385513829702</v>
      </c>
    </row>
    <row r="1603" spans="1:4">
      <c r="A1603">
        <v>1.095601</v>
      </c>
      <c r="B1603">
        <v>3.9575870000000002</v>
      </c>
      <c r="C1603">
        <f>LOG10(1.095601)</f>
        <v>3.9652419980503298E-2</v>
      </c>
      <c r="D1603">
        <f>LOG10(3.957587)</f>
        <v>0.59743047077498035</v>
      </c>
    </row>
    <row r="1604" spans="1:4">
      <c r="A1604">
        <v>1.121645</v>
      </c>
      <c r="B1604">
        <v>3.5198070000000001</v>
      </c>
      <c r="C1604">
        <f>LOG10(1.121645)</f>
        <v>4.9855424712852911E-2</v>
      </c>
      <c r="D1604">
        <f>LOG10(3.519807)</f>
        <v>0.54651885065626582</v>
      </c>
    </row>
    <row r="1605" spans="1:4">
      <c r="A1605">
        <v>1.1352679999999999</v>
      </c>
      <c r="B1605">
        <v>3.5625879999999999</v>
      </c>
      <c r="C1605">
        <f>LOG10(1.135268)</f>
        <v>5.5098396491261144E-2</v>
      </c>
      <c r="D1605">
        <f>LOG10(3.562588)</f>
        <v>0.55176560071969372</v>
      </c>
    </row>
    <row r="1606" spans="1:4">
      <c r="A1606">
        <v>1.101691</v>
      </c>
      <c r="B1606">
        <v>3.6862889999999999</v>
      </c>
      <c r="C1606">
        <f>LOG10(1.101691)</f>
        <v>4.2059801582194689E-2</v>
      </c>
      <c r="D1606">
        <f>LOG10(3.686289)</f>
        <v>0.56658938030931438</v>
      </c>
    </row>
    <row r="1607" spans="1:4">
      <c r="A1607">
        <v>1.0657049999999999</v>
      </c>
      <c r="B1607">
        <v>3.9450340000000002</v>
      </c>
      <c r="C1607">
        <f>LOG10(1.065705)</f>
        <v>2.7637003374724717E-2</v>
      </c>
      <c r="D1607">
        <f>LOG10(3.945034)</f>
        <v>0.59605075049822864</v>
      </c>
    </row>
    <row r="1608" spans="1:4">
      <c r="A1608">
        <v>1.091224</v>
      </c>
      <c r="B1608">
        <v>3.7266680000000001</v>
      </c>
      <c r="C1608">
        <f>LOG10(1.091224)</f>
        <v>3.7913909138782148E-2</v>
      </c>
      <c r="D1608">
        <f>LOG10(3.726668)</f>
        <v>0.57132070421335535</v>
      </c>
    </row>
    <row r="1609" spans="1:4">
      <c r="A1609">
        <v>1.0858190000000001</v>
      </c>
      <c r="B1609">
        <v>3.689263</v>
      </c>
      <c r="C1609">
        <f>LOG10(1.085819)</f>
        <v>3.5757436806639543E-2</v>
      </c>
      <c r="D1609">
        <f>LOG10(3.689263)</f>
        <v>0.56693961629414114</v>
      </c>
    </row>
    <row r="1610" spans="1:4">
      <c r="A1610">
        <v>1.073369</v>
      </c>
      <c r="B1610">
        <v>3.611529</v>
      </c>
      <c r="C1610">
        <f>LOG10(1.073369)</f>
        <v>3.0749048261104556E-2</v>
      </c>
      <c r="D1610">
        <f>LOG10(3.611529)</f>
        <v>0.55769110652551135</v>
      </c>
    </row>
    <row r="1611" spans="1:4">
      <c r="A1611">
        <v>1.0944529999999999</v>
      </c>
      <c r="B1611">
        <v>3.609715</v>
      </c>
      <c r="C1611">
        <f>LOG10(1.094453)</f>
        <v>3.9197116037413722E-2</v>
      </c>
      <c r="D1611">
        <f>LOG10(3.609715)</f>
        <v>0.55747291414570987</v>
      </c>
    </row>
    <row r="1612" spans="1:4">
      <c r="A1612">
        <v>1.1123749999999999</v>
      </c>
      <c r="B1612">
        <v>3.7301190000000002</v>
      </c>
      <c r="C1612">
        <f>LOG10(1.112375)</f>
        <v>4.6251219778553718E-2</v>
      </c>
      <c r="D1612">
        <f>LOG10(3.730119)</f>
        <v>0.57172268709527241</v>
      </c>
    </row>
    <row r="1613" spans="1:4">
      <c r="A1613">
        <v>1.091291</v>
      </c>
      <c r="B1613">
        <v>3.8203209999999999</v>
      </c>
      <c r="C1613">
        <f>LOG10(1.091291)</f>
        <v>3.7940573542276902E-2</v>
      </c>
      <c r="D1613">
        <f>LOG10(3.820321)</f>
        <v>0.58209985575769596</v>
      </c>
    </row>
    <row r="1614" spans="1:4">
      <c r="A1614">
        <v>1.1149979999999999</v>
      </c>
      <c r="B1614">
        <v>3.6189640000000001</v>
      </c>
      <c r="C1614">
        <f>LOG10(1.114998)</f>
        <v>4.7274088379925812E-2</v>
      </c>
      <c r="D1614">
        <f>LOG10(3.618964)</f>
        <v>0.55858426294265318</v>
      </c>
    </row>
    <row r="1615" spans="1:4">
      <c r="A1615">
        <v>1.114069</v>
      </c>
      <c r="B1615">
        <v>3.559399</v>
      </c>
      <c r="C1615">
        <f>LOG10(1.114069)</f>
        <v>4.6912089752654734E-2</v>
      </c>
      <c r="D1615">
        <f>LOG10(3.559399)</f>
        <v>0.55137667409139479</v>
      </c>
    </row>
    <row r="1616" spans="1:4">
      <c r="A1616">
        <v>1.101823</v>
      </c>
      <c r="B1616">
        <v>3.4310689999999999</v>
      </c>
      <c r="C1616">
        <f>LOG10(1.101823)</f>
        <v>4.2111833810426332E-2</v>
      </c>
      <c r="D1616">
        <f>LOG10(3.431069)</f>
        <v>0.53542945195822311</v>
      </c>
    </row>
    <row r="1617" spans="1:4">
      <c r="A1617">
        <v>1.0810740000000001</v>
      </c>
      <c r="B1617">
        <v>3.6011860000000002</v>
      </c>
      <c r="C1617">
        <f>LOG10(1.081074)</f>
        <v>3.3855422622794763E-2</v>
      </c>
      <c r="D1617">
        <f>LOG10(3.601186)</f>
        <v>0.55644555310899724</v>
      </c>
    </row>
    <row r="1618" spans="1:4">
      <c r="A1618">
        <v>1.0590759999999999</v>
      </c>
      <c r="B1618">
        <v>3.8053490000000001</v>
      </c>
      <c r="C1618">
        <f>LOG10(1.059076)</f>
        <v>2.4927126487387114E-2</v>
      </c>
      <c r="D1618">
        <f>LOG10(3.805349)</f>
        <v>0.58039449338610749</v>
      </c>
    </row>
    <row r="1619" spans="1:4">
      <c r="A1619">
        <v>1.0745910000000001</v>
      </c>
      <c r="B1619">
        <v>4.1887569999999998</v>
      </c>
      <c r="C1619">
        <f>LOG10(1.074591)</f>
        <v>3.1243198910224878E-2</v>
      </c>
      <c r="D1619">
        <f>LOG10(4.188757)</f>
        <v>0.62208516661087987</v>
      </c>
    </row>
    <row r="1620" spans="1:4">
      <c r="A1620">
        <v>1.046333</v>
      </c>
      <c r="B1620">
        <v>4.3102460000000002</v>
      </c>
      <c r="C1620">
        <f>LOG10(1.046333)</f>
        <v>1.9669922625951467E-2</v>
      </c>
      <c r="D1620">
        <f>LOG10(4.310246)</f>
        <v>0.6345020574910647</v>
      </c>
    </row>
    <row r="1621" spans="1:4">
      <c r="A1621">
        <v>1.0634950000000001</v>
      </c>
      <c r="B1621">
        <v>4.1816969999999998</v>
      </c>
      <c r="C1621">
        <f>LOG10(1.063495)</f>
        <v>2.6735452416919821E-2</v>
      </c>
      <c r="D1621">
        <f>LOG10(4.181697)</f>
        <v>0.6213525612422075</v>
      </c>
    </row>
    <row r="1622" spans="1:4">
      <c r="A1622">
        <v>1.07165</v>
      </c>
      <c r="B1622">
        <v>4.2678570000000002</v>
      </c>
      <c r="C1622">
        <f>LOG10(1.07165)</f>
        <v>3.0052968297047584E-2</v>
      </c>
      <c r="D1622">
        <f>LOG10(4.267857)</f>
        <v>0.63020985940488328</v>
      </c>
    </row>
    <row r="1623" spans="1:4">
      <c r="A1623">
        <v>1.0441130000000001</v>
      </c>
      <c r="B1623">
        <v>4.1845829999999999</v>
      </c>
      <c r="C1623">
        <f>LOG10(1.044113)</f>
        <v>1.874750309225191E-2</v>
      </c>
      <c r="D1623">
        <f>LOG10(4.184583)</f>
        <v>0.62165218638611563</v>
      </c>
    </row>
    <row r="1624" spans="1:4">
      <c r="A1624">
        <v>1.050052</v>
      </c>
      <c r="B1624">
        <v>4.4371270000000003</v>
      </c>
      <c r="C1624">
        <f>LOG10(1.050052)</f>
        <v>2.1210806454577669E-2</v>
      </c>
      <c r="D1624">
        <f>LOG10(4.437127)</f>
        <v>0.64710185932504305</v>
      </c>
    </row>
    <row r="1625" spans="1:4">
      <c r="A1625">
        <v>1.0504279999999999</v>
      </c>
      <c r="B1625">
        <v>4.1677350000000004</v>
      </c>
      <c r="C1625">
        <f>LOG10(1.050428)</f>
        <v>2.1366289703111115E-2</v>
      </c>
      <c r="D1625">
        <f>LOG10(4.167735)</f>
        <v>0.61990009712052563</v>
      </c>
    </row>
    <row r="1626" spans="1:4">
      <c r="A1626">
        <v>1.054468</v>
      </c>
      <c r="B1626">
        <v>4.0388650000000004</v>
      </c>
      <c r="C1626">
        <f>LOG10(1.054468)</f>
        <v>2.3033404716290659E-2</v>
      </c>
      <c r="D1626">
        <f>LOG10(4.038865)</f>
        <v>0.60625933701873735</v>
      </c>
    </row>
    <row r="1627" spans="1:4">
      <c r="A1627">
        <v>1.04708</v>
      </c>
      <c r="B1627">
        <v>4.1348750000000001</v>
      </c>
      <c r="C1627">
        <f>LOG10(1.04708)</f>
        <v>1.9979864325703166E-2</v>
      </c>
      <c r="D1627">
        <f>LOG10(4.134875)</f>
        <v>0.6164623850782166</v>
      </c>
    </row>
    <row r="1628" spans="1:4">
      <c r="A1628">
        <v>1.0488740000000001</v>
      </c>
      <c r="B1628">
        <v>4.2704240000000002</v>
      </c>
      <c r="C1628">
        <f>LOG10(1.048874)</f>
        <v>2.07233200416235E-2</v>
      </c>
      <c r="D1628">
        <f>LOG10(4.270424)</f>
        <v>0.63047099720736011</v>
      </c>
    </row>
    <row r="1629" spans="1:4">
      <c r="A1629">
        <v>1.0663990000000001</v>
      </c>
      <c r="B1629">
        <v>4.266724</v>
      </c>
      <c r="C1629">
        <f>LOG10(1.066399)</f>
        <v>2.7919729152721878E-2</v>
      </c>
      <c r="D1629">
        <f>LOG10(4.266724)</f>
        <v>0.63009455072109732</v>
      </c>
    </row>
    <row r="1630" spans="1:4">
      <c r="A1630">
        <v>1.0783879999999999</v>
      </c>
      <c r="B1630">
        <v>4.0617669999999997</v>
      </c>
      <c r="C1630">
        <f>LOG10(1.078388)</f>
        <v>3.2775046510626078E-2</v>
      </c>
      <c r="D1630">
        <f>LOG10(4.061767)</f>
        <v>0.60871500682935242</v>
      </c>
    </row>
    <row r="1631" spans="1:4">
      <c r="A1631">
        <v>1.0577240000000001</v>
      </c>
      <c r="B1631">
        <v>4.1688000000000001</v>
      </c>
      <c r="C1631">
        <f>LOG10(1.057724)</f>
        <v>2.4372358706420079E-2</v>
      </c>
      <c r="D1631">
        <f>LOG10(4.1688)</f>
        <v>0.62001106015870466</v>
      </c>
    </row>
    <row r="1632" spans="1:4">
      <c r="A1632">
        <v>1.064106</v>
      </c>
      <c r="B1632">
        <v>4.0585170000000002</v>
      </c>
      <c r="C1632">
        <f>LOG10(1.064106)</f>
        <v>2.6984891983584371E-2</v>
      </c>
      <c r="D1632">
        <f>LOG10(4.058517)</f>
        <v>0.60836736944584446</v>
      </c>
    </row>
    <row r="1633" spans="1:4">
      <c r="A1633">
        <v>1.043887</v>
      </c>
      <c r="B1633">
        <v>3.6755300000000002</v>
      </c>
      <c r="C1633">
        <f>LOG10(1.043887)</f>
        <v>1.8653489152315655E-2</v>
      </c>
      <c r="D1633">
        <f>LOG10(3.67553)</f>
        <v>0.56531997184994809</v>
      </c>
    </row>
    <row r="1634" spans="1:4">
      <c r="A1634">
        <v>1.0640540000000001</v>
      </c>
      <c r="B1634">
        <v>3.6013160000000002</v>
      </c>
      <c r="C1634">
        <f>LOG10(1.064054)</f>
        <v>2.6963668661030206E-2</v>
      </c>
      <c r="D1634">
        <f>LOG10(3.601316)</f>
        <v>0.55646123051739038</v>
      </c>
    </row>
    <row r="1635" spans="1:4">
      <c r="A1635">
        <v>1.0801689999999999</v>
      </c>
      <c r="B1635">
        <v>3.5306160000000002</v>
      </c>
      <c r="C1635">
        <f>LOG10(1.080169)</f>
        <v>3.3491709214265822E-2</v>
      </c>
      <c r="D1635">
        <f>LOG10(3.530616)</f>
        <v>0.54785048500861799</v>
      </c>
    </row>
    <row r="1636" spans="1:4">
      <c r="A1636">
        <v>1.075888</v>
      </c>
      <c r="B1636">
        <v>3.4900449999999998</v>
      </c>
      <c r="C1636">
        <f>LOG10(1.075888)</f>
        <v>3.176706360393005E-2</v>
      </c>
      <c r="D1636">
        <f>LOG10(3.490045)</f>
        <v>0.54283102670866168</v>
      </c>
    </row>
    <row r="1637" spans="1:4">
      <c r="A1637">
        <v>1.072727</v>
      </c>
      <c r="B1637">
        <v>3.4386839999999999</v>
      </c>
      <c r="C1637">
        <f>LOG10(1.072727)</f>
        <v>3.048921173403497E-2</v>
      </c>
      <c r="D1637">
        <f>LOG10(3.438684)</f>
        <v>0.53639226789475825</v>
      </c>
    </row>
    <row r="1638" spans="1:4">
      <c r="A1638">
        <v>1.064765</v>
      </c>
      <c r="B1638">
        <v>3.4880309999999999</v>
      </c>
      <c r="C1638">
        <f>LOG10(1.064765)</f>
        <v>2.7253766962590423E-2</v>
      </c>
      <c r="D1638">
        <f>LOG10(3.488031)</f>
        <v>0.54258033608538958</v>
      </c>
    </row>
    <row r="1639" spans="1:4">
      <c r="A1639">
        <v>1.072994</v>
      </c>
      <c r="B1639">
        <v>3.5422180000000001</v>
      </c>
      <c r="C1639">
        <f>LOG10(1.072994)</f>
        <v>3.0597293471843996E-2</v>
      </c>
      <c r="D1639">
        <f>LOG10(3.542218)</f>
        <v>0.54927528561849681</v>
      </c>
    </row>
    <row r="1640" spans="1:4">
      <c r="A1640">
        <v>1.080298</v>
      </c>
      <c r="B1640">
        <v>3.4887359999999998</v>
      </c>
      <c r="C1640">
        <f>LOG10(1.080298)</f>
        <v>3.3543572064503403E-2</v>
      </c>
      <c r="D1640">
        <f>LOG10(3.488736)</f>
        <v>0.5426681067134711</v>
      </c>
    </row>
    <row r="1641" spans="1:4">
      <c r="A1641">
        <v>1.0921860000000001</v>
      </c>
      <c r="B1641">
        <v>3.4197519999999999</v>
      </c>
      <c r="C1641">
        <f>LOG10(1.092186)</f>
        <v>3.8296605305443883E-2</v>
      </c>
      <c r="D1641">
        <f>LOG10(3.419752)</f>
        <v>0.53399461221496669</v>
      </c>
    </row>
    <row r="1642" spans="1:4">
      <c r="A1642">
        <v>1.0956360000000001</v>
      </c>
      <c r="B1642">
        <v>3.6119249999999998</v>
      </c>
      <c r="C1642">
        <f>LOG10(1.095636)</f>
        <v>3.9666293702850908E-2</v>
      </c>
      <c r="D1642">
        <f>LOG10(3.611925)</f>
        <v>0.55773872380527967</v>
      </c>
    </row>
    <row r="1643" spans="1:4">
      <c r="A1643">
        <v>1.086516</v>
      </c>
      <c r="B1643">
        <v>3.4953120000000002</v>
      </c>
      <c r="C1643">
        <f>LOG10(1.086516)</f>
        <v>3.6036126110337144E-2</v>
      </c>
      <c r="D1643">
        <f>LOG10(3.495312)</f>
        <v>0.54348594798746575</v>
      </c>
    </row>
    <row r="1644" spans="1:4">
      <c r="A1644">
        <v>1.0973980000000001</v>
      </c>
      <c r="B1644">
        <v>3.4872260000000002</v>
      </c>
      <c r="C1644">
        <f>LOG10(1.097398)</f>
        <v>4.0364164362197134E-2</v>
      </c>
      <c r="D1644">
        <f>LOG10(3.487226)</f>
        <v>0.54248009402707287</v>
      </c>
    </row>
    <row r="1645" spans="1:4">
      <c r="A1645">
        <v>1.0827960000000001</v>
      </c>
      <c r="B1645">
        <v>3.580505</v>
      </c>
      <c r="C1645">
        <f>LOG10(1.082796)</f>
        <v>3.454664275682099E-2</v>
      </c>
      <c r="D1645">
        <f>LOG10(3.580505)</f>
        <v>0.55394428453384859</v>
      </c>
    </row>
    <row r="1646" spans="1:4">
      <c r="A1646">
        <v>1.0926880000000001</v>
      </c>
      <c r="B1646">
        <v>3.511266</v>
      </c>
      <c r="C1646">
        <f>LOG10(1.092688)</f>
        <v>3.8496173640965116E-2</v>
      </c>
      <c r="D1646">
        <f>LOG10(3.511266)</f>
        <v>0.54546373119030478</v>
      </c>
    </row>
    <row r="1647" spans="1:4">
      <c r="A1647">
        <v>1.0911869999999999</v>
      </c>
      <c r="B1647">
        <v>3.545922</v>
      </c>
      <c r="C1647">
        <f>LOG10(1.091187)</f>
        <v>3.789918331873085E-2</v>
      </c>
      <c r="D1647">
        <f>LOG10(3.545922)</f>
        <v>0.54972917815092237</v>
      </c>
    </row>
    <row r="1648" spans="1:4">
      <c r="A1648">
        <v>1.118644</v>
      </c>
      <c r="B1648">
        <v>3.6288369999999999</v>
      </c>
      <c r="C1648">
        <f>LOG10(1.118644)</f>
        <v>4.8691897578845983E-2</v>
      </c>
      <c r="D1648">
        <f>LOG10(3.628837)</f>
        <v>0.55976746101113839</v>
      </c>
    </row>
    <row r="1649" spans="1:4">
      <c r="A1649">
        <v>1.1091299999999999</v>
      </c>
      <c r="B1649">
        <v>3.5415100000000002</v>
      </c>
      <c r="C1649">
        <f>LOG10(1.10913)</f>
        <v>4.49824523473649E-2</v>
      </c>
      <c r="D1649">
        <f>LOG10(3.54151)</f>
        <v>0.54918847243362823</v>
      </c>
    </row>
    <row r="1650" spans="1:4">
      <c r="A1650">
        <v>1.0371360000000001</v>
      </c>
      <c r="B1650">
        <v>3.252033</v>
      </c>
      <c r="C1650">
        <f>LOG10(1.037136)</f>
        <v>1.5835709307869344E-2</v>
      </c>
      <c r="D1650">
        <f>LOG10(3.252033)</f>
        <v>0.51215494394699579</v>
      </c>
    </row>
    <row r="1651" spans="1:4">
      <c r="A1651">
        <v>1.0174240000000001</v>
      </c>
      <c r="B1651">
        <v>4.290673</v>
      </c>
      <c r="C1651">
        <f>LOG10(1.017424)</f>
        <v>7.501977982410756E-3</v>
      </c>
      <c r="D1651">
        <f>LOG10(4.290673)</f>
        <v>0.63252541742080315</v>
      </c>
    </row>
    <row r="1652" spans="1:4">
      <c r="A1652">
        <v>1.0195099999999999</v>
      </c>
      <c r="B1652">
        <v>4.3412829999999998</v>
      </c>
      <c r="C1652">
        <f>LOG10(1.01951)</f>
        <v>8.3914899704802867E-3</v>
      </c>
      <c r="D1652">
        <f>LOG10(4.341283)</f>
        <v>0.63761809759458765</v>
      </c>
    </row>
    <row r="1653" spans="1:4">
      <c r="A1653">
        <v>1.0259149999999999</v>
      </c>
      <c r="B1653">
        <v>3.7951860000000002</v>
      </c>
      <c r="C1653">
        <f>LOG10(1.025915)</f>
        <v>1.1111379722992717E-2</v>
      </c>
      <c r="D1653">
        <f>LOG10(3.795186)</f>
        <v>0.57923306528924356</v>
      </c>
    </row>
    <row r="1654" spans="1:4">
      <c r="A1654">
        <v>1.0240309999999999</v>
      </c>
      <c r="B1654">
        <v>3.8862079999999999</v>
      </c>
      <c r="C1654">
        <f>LOG10(1.024031)</f>
        <v>1.0313104027659101E-2</v>
      </c>
      <c r="D1654">
        <f>LOG10(3.886208)</f>
        <v>0.58952604146056165</v>
      </c>
    </row>
    <row r="1655" spans="1:4">
      <c r="A1655">
        <v>1.0219240000000001</v>
      </c>
      <c r="B1655">
        <v>3.9169770000000002</v>
      </c>
      <c r="C1655">
        <f>LOG10(1.021924)</f>
        <v>9.4185987263567614E-3</v>
      </c>
      <c r="D1655">
        <f>LOG10(3.916977)</f>
        <v>0.59295102143236678</v>
      </c>
    </row>
    <row r="1656" spans="1:4">
      <c r="A1656">
        <v>1.0150509999999999</v>
      </c>
      <c r="B1656">
        <v>4.0746130000000003</v>
      </c>
      <c r="C1656">
        <f>LOG10(1.015051)</f>
        <v>6.4878633941996998E-3</v>
      </c>
      <c r="D1656">
        <f>LOG10(4.074613)</f>
        <v>0.61008636646351877</v>
      </c>
    </row>
    <row r="1657" spans="1:4">
      <c r="A1657">
        <v>1.0211619999999999</v>
      </c>
      <c r="B1657">
        <v>4.0404249999999999</v>
      </c>
      <c r="C1657">
        <f>LOG10(1.021162)</f>
        <v>9.0946452456369935E-3</v>
      </c>
      <c r="D1657">
        <f>LOG10(4.040425)</f>
        <v>0.60642704962719385</v>
      </c>
    </row>
    <row r="1658" spans="1:4">
      <c r="A1658">
        <v>1.0167330000000001</v>
      </c>
      <c r="B1658">
        <v>3.9751379999999998</v>
      </c>
      <c r="C1658">
        <f>LOG10(1.016733)</f>
        <v>7.206919637810609E-3</v>
      </c>
      <c r="D1658">
        <f>LOG10(3.975138)</f>
        <v>0.59935221012410833</v>
      </c>
    </row>
    <row r="1659" spans="1:4">
      <c r="A1659">
        <v>1.0166740000000001</v>
      </c>
      <c r="B1659">
        <v>3.820881</v>
      </c>
      <c r="C1659">
        <f>LOG10(1.016674)</f>
        <v>7.1817172317605697E-3</v>
      </c>
      <c r="D1659">
        <f>LOG10(3.820881)</f>
        <v>0.5821635119495624</v>
      </c>
    </row>
    <row r="1660" spans="1:4">
      <c r="A1660">
        <v>1.0241800000000001</v>
      </c>
      <c r="B1660">
        <v>3.8271839999999999</v>
      </c>
      <c r="C1660">
        <f>LOG10(1.02418)</f>
        <v>1.0376290757852241E-2</v>
      </c>
      <c r="D1660">
        <f>LOG10(3.827184)</f>
        <v>0.58287934235612027</v>
      </c>
    </row>
    <row r="1661" spans="1:4">
      <c r="A1661">
        <v>1.02288</v>
      </c>
      <c r="B1661">
        <v>3.8854570000000002</v>
      </c>
      <c r="C1661">
        <f>LOG10(1.02288)</f>
        <v>9.8246870897891973E-3</v>
      </c>
      <c r="D1661">
        <f>LOG10(3.885457)</f>
        <v>0.58944210702516742</v>
      </c>
    </row>
    <row r="1662" spans="1:4">
      <c r="A1662">
        <v>1.0236019999999999</v>
      </c>
      <c r="B1662">
        <v>4.0062040000000003</v>
      </c>
      <c r="C1662">
        <f>LOG10(1.023602)</f>
        <v>1.0131125777198661E-2</v>
      </c>
      <c r="D1662">
        <f>LOG10(4.006204)</f>
        <v>0.60273306023927709</v>
      </c>
    </row>
    <row r="1663" spans="1:4">
      <c r="A1663">
        <v>1.0211699999999999</v>
      </c>
      <c r="B1663">
        <v>3.7398940000000001</v>
      </c>
      <c r="C1663">
        <f>LOG10(1.02117)</f>
        <v>9.0980475875238626E-3</v>
      </c>
      <c r="D1663">
        <f>LOG10(3.739894)</f>
        <v>0.57285929314500827</v>
      </c>
    </row>
    <row r="1664" spans="1:4">
      <c r="A1664">
        <v>1.023881</v>
      </c>
      <c r="B1664">
        <v>3.6809430000000001</v>
      </c>
      <c r="C1664">
        <f>LOG10(1.023881)</f>
        <v>1.0249483938122118E-2</v>
      </c>
      <c r="D1664">
        <f>LOG10(3.680943)</f>
        <v>0.56595909237817077</v>
      </c>
    </row>
    <row r="1665" spans="1:4">
      <c r="A1665">
        <v>1.0226280000000001</v>
      </c>
      <c r="B1665">
        <v>3.619532</v>
      </c>
      <c r="C1665">
        <f>LOG10(1.022628)</f>
        <v>9.7176797253660137E-3</v>
      </c>
      <c r="D1665">
        <f>LOG10(3.619532)</f>
        <v>0.5586524205450687</v>
      </c>
    </row>
    <row r="1666" spans="1:4">
      <c r="A1666">
        <v>1.024942</v>
      </c>
      <c r="B1666">
        <v>3.7151239999999999</v>
      </c>
      <c r="C1666">
        <f>LOG10(1.024942)</f>
        <v>1.0699289984315623E-2</v>
      </c>
      <c r="D1666">
        <f>LOG10(3.715124)</f>
        <v>0.56997331382123095</v>
      </c>
    </row>
    <row r="1667" spans="1:4">
      <c r="A1667">
        <v>1.0314939999999999</v>
      </c>
      <c r="B1667">
        <v>3.8827690000000001</v>
      </c>
      <c r="C1667">
        <f>LOG10(1.031494)</f>
        <v>1.3466706109974962E-2</v>
      </c>
      <c r="D1667">
        <f>LOG10(3.882769)</f>
        <v>0.58914155356188047</v>
      </c>
    </row>
    <row r="1668" spans="1:4">
      <c r="A1668">
        <v>1.038125</v>
      </c>
      <c r="B1668">
        <v>4.1628579999999999</v>
      </c>
      <c r="C1668">
        <f>LOG10(1.038125)</f>
        <v>1.6249649795469681E-2</v>
      </c>
      <c r="D1668">
        <f>LOG10(4.162858)</f>
        <v>0.61939159684204204</v>
      </c>
    </row>
    <row r="1669" spans="1:4">
      <c r="A1669">
        <v>1.0178879999999999</v>
      </c>
      <c r="B1669">
        <v>4.3769859999999996</v>
      </c>
      <c r="C1669">
        <f>LOG10(1.017888)</f>
        <v>7.6999944468093967E-3</v>
      </c>
      <c r="D1669">
        <f>LOG10(4.376986)</f>
        <v>0.6411751575035709</v>
      </c>
    </row>
    <row r="1670" spans="1:4">
      <c r="A1670">
        <v>1.018724</v>
      </c>
      <c r="B1670">
        <v>4.2367929999999996</v>
      </c>
      <c r="C1670">
        <f>LOG10(1.018724)</f>
        <v>8.056537771962545E-3</v>
      </c>
      <c r="D1670">
        <f>LOG10(4.236793)</f>
        <v>0.62703724588584997</v>
      </c>
    </row>
    <row r="1671" spans="1:4">
      <c r="A1671">
        <v>1.0321549999999999</v>
      </c>
      <c r="B1671">
        <v>4.3894719999999996</v>
      </c>
      <c r="C1671">
        <f>LOG10(1.032155)</f>
        <v>1.3744920731119784E-2</v>
      </c>
      <c r="D1671">
        <f>LOG10(4.389472)</f>
        <v>0.64241228304910536</v>
      </c>
    </row>
    <row r="1672" spans="1:4">
      <c r="A1672">
        <v>1.021693</v>
      </c>
      <c r="B1672">
        <v>4.3068039999999996</v>
      </c>
      <c r="C1672">
        <f>LOG10(1.021693)</f>
        <v>9.3204178776488487E-3</v>
      </c>
      <c r="D1672">
        <f>LOG10(4.306804)</f>
        <v>0.63415510773767736</v>
      </c>
    </row>
    <row r="1673" spans="1:4">
      <c r="A1673">
        <v>1.0273840000000001</v>
      </c>
      <c r="B1673">
        <v>4.2942650000000002</v>
      </c>
      <c r="C1673">
        <f>LOG10(1.027384)</f>
        <v>1.1732797940957936E-2</v>
      </c>
      <c r="D1673">
        <f>LOG10(4.294265)</f>
        <v>0.63288884133138446</v>
      </c>
    </row>
    <row r="1674" spans="1:4">
      <c r="A1674">
        <v>1.0245299999999999</v>
      </c>
      <c r="B1674">
        <v>4.196752</v>
      </c>
      <c r="C1674">
        <f>LOG10(1.02453)</f>
        <v>1.0524679812569463E-2</v>
      </c>
      <c r="D1674">
        <f>LOG10(4.196752)</f>
        <v>0.6229133060678701</v>
      </c>
    </row>
    <row r="1675" spans="1:4">
      <c r="A1675">
        <v>1.0260149999999999</v>
      </c>
      <c r="B1675">
        <v>4.179837</v>
      </c>
      <c r="C1675">
        <f>LOG10(1.026015)</f>
        <v>1.1153710063915363E-2</v>
      </c>
      <c r="D1675">
        <f>LOG10(4.179837)</f>
        <v>0.6211593460379965</v>
      </c>
    </row>
    <row r="1676" spans="1:4">
      <c r="A1676">
        <v>1.0287649999999999</v>
      </c>
      <c r="B1676">
        <v>4.2586469999999998</v>
      </c>
      <c r="C1676">
        <f>LOG10(1.028765)</f>
        <v>1.2316180535987266E-2</v>
      </c>
      <c r="D1676">
        <f>LOG10(4.258647)</f>
        <v>0.62927164281953074</v>
      </c>
    </row>
    <row r="1677" spans="1:4">
      <c r="A1677">
        <v>1.029555</v>
      </c>
      <c r="B1677">
        <v>4.3532460000000004</v>
      </c>
      <c r="C1677">
        <f>LOG10(1.029555)</f>
        <v>1.2649552079333727E-2</v>
      </c>
      <c r="D1677">
        <f>LOG10(4.353246)</f>
        <v>0.63881320963933064</v>
      </c>
    </row>
    <row r="1678" spans="1:4">
      <c r="A1678">
        <v>1.0366109999999999</v>
      </c>
      <c r="B1678">
        <v>4.3942389999999998</v>
      </c>
      <c r="C1678">
        <f>LOG10(1.036611)</f>
        <v>1.5615813044853287E-2</v>
      </c>
      <c r="D1678">
        <f>LOG10(4.394239)</f>
        <v>0.64288367424093495</v>
      </c>
    </row>
    <row r="1679" spans="1:4">
      <c r="A1679">
        <v>1.037223</v>
      </c>
      <c r="B1679">
        <v>4.1541810000000003</v>
      </c>
      <c r="C1679">
        <f>LOG10(1.037223)</f>
        <v>1.587213850835751E-2</v>
      </c>
      <c r="D1679">
        <f>LOG10(4.154181)</f>
        <v>0.61848541506588761</v>
      </c>
    </row>
    <row r="1680" spans="1:4">
      <c r="A1680">
        <v>1.0264770000000001</v>
      </c>
      <c r="B1680">
        <v>4.1872999999999996</v>
      </c>
      <c r="C1680">
        <f>LOG10(1.026477)</f>
        <v>1.1349222693468148E-2</v>
      </c>
      <c r="D1680">
        <f>LOG10(4.1873)</f>
        <v>0.62193407712652815</v>
      </c>
    </row>
    <row r="1681" spans="1:4">
      <c r="A1681">
        <v>1.124371</v>
      </c>
      <c r="B1681">
        <v>4.0994169999999999</v>
      </c>
      <c r="C1681">
        <f>LOG10(1.124371)</f>
        <v>5.0909635670377984E-2</v>
      </c>
      <c r="D1681">
        <f>LOG10(4.099417)</f>
        <v>0.6127220977719039</v>
      </c>
    </row>
    <row r="1682" spans="1:4">
      <c r="A1682">
        <v>1.0304310000000001</v>
      </c>
      <c r="B1682">
        <v>3.7061519999999999</v>
      </c>
      <c r="C1682">
        <f>LOG10(1.030431)</f>
        <v>1.3018915744018393E-2</v>
      </c>
      <c r="D1682">
        <f>LOG10(3.706152)</f>
        <v>0.56892322701945286</v>
      </c>
    </row>
    <row r="1683" spans="1:4">
      <c r="A1683">
        <v>1.038513</v>
      </c>
      <c r="B1683">
        <v>3.60941</v>
      </c>
      <c r="C1683">
        <f>LOG10(1.038513)</f>
        <v>1.6411937359252393E-2</v>
      </c>
      <c r="D1683">
        <f>LOG10(3.60941)</f>
        <v>0.55743621722826919</v>
      </c>
    </row>
    <row r="1684" spans="1:4">
      <c r="A1684">
        <v>1.0198659999999999</v>
      </c>
      <c r="B1684">
        <v>3.5817770000000002</v>
      </c>
      <c r="C1684">
        <f>LOG10(1.019866)</f>
        <v>8.5431136407872789E-3</v>
      </c>
      <c r="D1684">
        <f>LOG10(3.581777)</f>
        <v>0.55409854335437225</v>
      </c>
    </row>
    <row r="1685" spans="1:4">
      <c r="A1685">
        <v>1.0175000000000001</v>
      </c>
      <c r="B1685">
        <v>3.5280469999999999</v>
      </c>
      <c r="C1685">
        <f>LOG10(1.0175)</f>
        <v>7.5344178972576777E-3</v>
      </c>
      <c r="D1685">
        <f>LOG10(3.528047)</f>
        <v>0.54753436209036244</v>
      </c>
    </row>
    <row r="1686" spans="1:4">
      <c r="A1686">
        <v>1.032775</v>
      </c>
      <c r="B1686">
        <v>3.539393</v>
      </c>
      <c r="C1686">
        <f>LOG10(1.032775)</f>
        <v>1.4005716580733586E-2</v>
      </c>
      <c r="D1686">
        <f>LOG10(3.539393)</f>
        <v>0.54892878763196307</v>
      </c>
    </row>
    <row r="1687" spans="1:4">
      <c r="A1687">
        <v>1.016059</v>
      </c>
      <c r="B1687">
        <v>3.6848019999999999</v>
      </c>
      <c r="C1687">
        <f>LOG10(1.016059)</f>
        <v>6.9189270723840519E-3</v>
      </c>
      <c r="D1687">
        <f>LOG10(3.684802)</f>
        <v>0.56641415634223802</v>
      </c>
    </row>
    <row r="1688" spans="1:4">
      <c r="A1688">
        <v>1.019231</v>
      </c>
      <c r="B1688">
        <v>3.8105220000000002</v>
      </c>
      <c r="C1688">
        <f>LOG10(1.019231)</f>
        <v>8.2726242968048438E-3</v>
      </c>
      <c r="D1688">
        <f>LOG10(3.810522)</f>
        <v>0.58098447336354886</v>
      </c>
    </row>
    <row r="1689" spans="1:4">
      <c r="A1689">
        <v>1.0274209999999999</v>
      </c>
      <c r="B1689">
        <v>3.7156739999999999</v>
      </c>
      <c r="C1689">
        <f>LOG10(1.027421)</f>
        <v>1.1748438253135578E-2</v>
      </c>
      <c r="D1689">
        <f>LOG10(3.715674)</f>
        <v>0.57003760354233035</v>
      </c>
    </row>
    <row r="1690" spans="1:4">
      <c r="A1690">
        <v>1.025863</v>
      </c>
      <c r="B1690">
        <v>3.5899890000000001</v>
      </c>
      <c r="C1690">
        <f>LOG10(1.025863)</f>
        <v>1.108936631504724E-2</v>
      </c>
      <c r="D1690">
        <f>LOG10(3.589989)</f>
        <v>0.55509311786895432</v>
      </c>
    </row>
    <row r="1691" spans="1:4">
      <c r="A1691">
        <v>1.020921</v>
      </c>
      <c r="B1691">
        <v>3.9404530000000002</v>
      </c>
      <c r="C1691">
        <f>LOG10(1.020921)</f>
        <v>8.992137198094774E-3</v>
      </c>
      <c r="D1691">
        <f>LOG10(3.940453)</f>
        <v>0.59554615179800563</v>
      </c>
    </row>
    <row r="1692" spans="1:4">
      <c r="A1692">
        <v>1.018969</v>
      </c>
      <c r="B1692">
        <v>3.8474219999999999</v>
      </c>
      <c r="C1692">
        <f>LOG10(1.018969)</f>
        <v>8.160971706396283E-3</v>
      </c>
      <c r="D1692">
        <f>LOG10(3.847422)</f>
        <v>0.58516982400372031</v>
      </c>
    </row>
    <row r="1693" spans="1:4">
      <c r="A1693">
        <v>1.029863</v>
      </c>
      <c r="B1693">
        <v>3.7687249999999999</v>
      </c>
      <c r="C1693">
        <f>LOG10(1.029863)</f>
        <v>1.2779455480608739E-2</v>
      </c>
      <c r="D1693">
        <f>LOG10(3.768725)</f>
        <v>0.57619444858258573</v>
      </c>
    </row>
    <row r="1694" spans="1:4">
      <c r="A1694">
        <v>1.021244</v>
      </c>
      <c r="B1694">
        <v>3.877704</v>
      </c>
      <c r="C1694">
        <f>LOG10(1.021244)</f>
        <v>9.1295179864488221E-3</v>
      </c>
      <c r="D1694">
        <f>LOG10(3.877704)</f>
        <v>0.58857465464652359</v>
      </c>
    </row>
    <row r="1695" spans="1:4">
      <c r="A1695">
        <v>1.0328079999999999</v>
      </c>
      <c r="B1695">
        <v>3.7586050000000002</v>
      </c>
      <c r="C1695">
        <f>LOG10(1.032808)</f>
        <v>1.4019593261461502E-2</v>
      </c>
      <c r="D1695">
        <f>LOG10(3.758605)</f>
        <v>0.57502668715724836</v>
      </c>
    </row>
    <row r="1696" spans="1:4">
      <c r="A1696">
        <v>1.019836</v>
      </c>
      <c r="B1696">
        <v>3.8631389999999999</v>
      </c>
      <c r="C1696">
        <f>LOG10(1.019836)</f>
        <v>8.5303384074855264E-3</v>
      </c>
      <c r="D1696">
        <f>LOG10(3.863139)</f>
        <v>0.58694033482018593</v>
      </c>
    </row>
    <row r="1697" spans="1:4">
      <c r="A1697">
        <v>1.0257890000000001</v>
      </c>
      <c r="B1697">
        <v>3.9391069999999999</v>
      </c>
      <c r="C1697">
        <f>LOG10(1.025789)</f>
        <v>1.105803761829483E-2</v>
      </c>
      <c r="D1697">
        <f>LOG10(3.939107)</f>
        <v>0.59539777793491488</v>
      </c>
    </row>
    <row r="1698" spans="1:4">
      <c r="A1698">
        <v>1.0202249999999999</v>
      </c>
      <c r="B1698">
        <v>3.8510620000000002</v>
      </c>
      <c r="C1698">
        <f>LOG10(1.020225)</f>
        <v>8.6959614506277282E-3</v>
      </c>
      <c r="D1698">
        <f>LOG10(3.851062)</f>
        <v>0.58558051058355376</v>
      </c>
    </row>
    <row r="1699" spans="1:4">
      <c r="A1699">
        <v>1.0832379999999999</v>
      </c>
      <c r="B1699">
        <v>3.7663310000000001</v>
      </c>
      <c r="C1699">
        <f>LOG10(1.083238)</f>
        <v>3.4723886663117529E-2</v>
      </c>
      <c r="D1699">
        <f>LOG10(3.766331)</f>
        <v>0.57591848486721053</v>
      </c>
    </row>
    <row r="1700" spans="1:4">
      <c r="A1700">
        <v>1.053725</v>
      </c>
      <c r="B1700">
        <v>3.580117</v>
      </c>
      <c r="C1700">
        <f>LOG10(1.053725)</f>
        <v>2.2727283964144949E-2</v>
      </c>
      <c r="D1700">
        <f>LOG10(3.580117)</f>
        <v>0.55389721983495965</v>
      </c>
    </row>
    <row r="1701" spans="1:4">
      <c r="A1701">
        <v>1.089162</v>
      </c>
      <c r="B1701">
        <v>3.7492749999999999</v>
      </c>
      <c r="C1701">
        <f>LOG10(1.089162)</f>
        <v>3.7092480741558416E-2</v>
      </c>
      <c r="D1701">
        <f>LOG10(3.749275)</f>
        <v>0.57394729601035666</v>
      </c>
    </row>
    <row r="1702" spans="1:4">
      <c r="A1702">
        <v>1.1219749999999999</v>
      </c>
      <c r="B1702">
        <v>3.7877770000000002</v>
      </c>
      <c r="C1702">
        <f>LOG10(1.121975)</f>
        <v>4.998318001906478E-2</v>
      </c>
      <c r="D1702">
        <f>LOG10(3.787777)</f>
        <v>0.57838440261204549</v>
      </c>
    </row>
    <row r="1703" spans="1:4">
      <c r="A1703">
        <v>1.097092</v>
      </c>
      <c r="B1703">
        <v>4.026249</v>
      </c>
      <c r="C1703">
        <f>LOG10(1.097092)</f>
        <v>4.0243048191857991E-2</v>
      </c>
      <c r="D1703">
        <f>LOG10(4.026249)</f>
        <v>0.60490062996198291</v>
      </c>
    </row>
    <row r="1704" spans="1:4">
      <c r="A1704">
        <v>1.102473</v>
      </c>
      <c r="B1704">
        <v>3.8132350000000002</v>
      </c>
      <c r="C1704">
        <f>LOG10(1.102473)</f>
        <v>4.2367962226409671E-2</v>
      </c>
      <c r="D1704">
        <f>LOG10(3.813235)</f>
        <v>0.58129357056566056</v>
      </c>
    </row>
    <row r="1705" spans="1:4">
      <c r="A1705">
        <v>1.114886</v>
      </c>
      <c r="B1705">
        <v>3.8509359999999999</v>
      </c>
      <c r="C1705">
        <f>LOG10(1.114886)</f>
        <v>4.7230461911451201E-2</v>
      </c>
      <c r="D1705">
        <f>LOG10(3.850936)</f>
        <v>0.58556630099671014</v>
      </c>
    </row>
    <row r="1706" spans="1:4">
      <c r="A1706">
        <v>1.095364</v>
      </c>
      <c r="B1706">
        <v>3.544584</v>
      </c>
      <c r="C1706">
        <f>LOG10(1.095364)</f>
        <v>3.9558463397342411E-2</v>
      </c>
      <c r="D1706">
        <f>LOG10(3.544584)</f>
        <v>0.54956527277556999</v>
      </c>
    </row>
    <row r="1707" spans="1:4">
      <c r="A1707">
        <v>1.103486</v>
      </c>
      <c r="B1707">
        <v>3.907813</v>
      </c>
      <c r="C1707">
        <f>LOG10(1.103486)</f>
        <v>4.2766827609757259E-2</v>
      </c>
      <c r="D1707">
        <f>LOG10(3.907813)</f>
        <v>0.59193377331407848</v>
      </c>
    </row>
    <row r="1708" spans="1:4">
      <c r="A1708">
        <v>1.1229</v>
      </c>
      <c r="B1708">
        <v>3.809361</v>
      </c>
      <c r="C1708">
        <f>LOG10(1.1229)</f>
        <v>5.0341081834084332E-2</v>
      </c>
      <c r="D1708">
        <f>LOG10(3.809361)</f>
        <v>0.58085213120097456</v>
      </c>
    </row>
    <row r="1709" spans="1:4">
      <c r="A1709">
        <v>1.0937969999999999</v>
      </c>
      <c r="B1709">
        <v>3.7255099999999999</v>
      </c>
      <c r="C1709">
        <f>LOG10(1.093797)</f>
        <v>3.8936727883717319E-2</v>
      </c>
      <c r="D1709">
        <f>LOG10(3.72551)</f>
        <v>0.57118573346679191</v>
      </c>
    </row>
    <row r="1710" spans="1:4">
      <c r="A1710">
        <v>1.089008</v>
      </c>
      <c r="B1710">
        <v>3.7029960000000002</v>
      </c>
      <c r="C1710">
        <f>LOG10(1.089008)</f>
        <v>3.7031070153473435E-2</v>
      </c>
      <c r="D1710">
        <f>LOG10(3.702996)</f>
        <v>0.56855324292201459</v>
      </c>
    </row>
    <row r="1711" spans="1:4">
      <c r="A1711">
        <v>1.0785849999999999</v>
      </c>
      <c r="B1711">
        <v>3.7460249999999999</v>
      </c>
      <c r="C1711">
        <f>LOG10(1.078585)</f>
        <v>3.2854376213105274E-2</v>
      </c>
      <c r="D1711">
        <f>LOG10(3.746025)</f>
        <v>0.57357067141770701</v>
      </c>
    </row>
    <row r="1712" spans="1:4">
      <c r="A1712">
        <v>1.066236</v>
      </c>
      <c r="B1712">
        <v>3.6605120000000002</v>
      </c>
      <c r="C1712">
        <f>LOG10(1.066236)</f>
        <v>2.7853341795590316E-2</v>
      </c>
      <c r="D1712">
        <f>LOG10(3.660512)</f>
        <v>0.56354183490895204</v>
      </c>
    </row>
    <row r="1713" spans="1:4">
      <c r="A1713">
        <v>1.075623</v>
      </c>
      <c r="B1713">
        <v>3.6001439999999998</v>
      </c>
      <c r="C1713">
        <f>LOG10(1.075623)</f>
        <v>3.1660080150639473E-2</v>
      </c>
      <c r="D1713">
        <f>LOG10(3.600144)</f>
        <v>0.55631987219913703</v>
      </c>
    </row>
    <row r="1714" spans="1:4">
      <c r="A1714">
        <v>1.077078</v>
      </c>
      <c r="B1714">
        <v>3.623275</v>
      </c>
      <c r="C1714">
        <f>LOG10(1.077078)</f>
        <v>3.2247155241321844E-2</v>
      </c>
      <c r="D1714">
        <f>LOG10(3.623275)</f>
        <v>0.55910129744886505</v>
      </c>
    </row>
    <row r="1715" spans="1:4">
      <c r="A1715">
        <v>1.065059</v>
      </c>
      <c r="B1715">
        <v>4.0269430000000002</v>
      </c>
      <c r="C1715">
        <f>LOG10(1.065059)</f>
        <v>2.7373666614853291E-2</v>
      </c>
      <c r="D1715">
        <f>LOG10(4.026943)</f>
        <v>0.60497548236117749</v>
      </c>
    </row>
    <row r="1716" spans="1:4">
      <c r="A1716">
        <v>1.065839</v>
      </c>
      <c r="B1716">
        <v>4.1404439999999996</v>
      </c>
      <c r="C1716">
        <f>LOG10(1.065839)</f>
        <v>2.7691607418227206E-2</v>
      </c>
      <c r="D1716">
        <f>LOG10(4.140444)</f>
        <v>0.61704691513314991</v>
      </c>
    </row>
    <row r="1717" spans="1:4">
      <c r="A1717">
        <v>1.03773</v>
      </c>
      <c r="B1717">
        <v>4.1952449999999999</v>
      </c>
      <c r="C1717">
        <f>LOG10(1.03773)</f>
        <v>1.6084372044931055E-2</v>
      </c>
      <c r="D1717">
        <f>LOG10(4.195245)</f>
        <v>0.62275732846414511</v>
      </c>
    </row>
    <row r="1718" spans="1:4">
      <c r="A1718">
        <v>1.0508930000000001</v>
      </c>
      <c r="B1718">
        <v>4.2402639999999998</v>
      </c>
      <c r="C1718">
        <f>LOG10(1.050893)</f>
        <v>2.155849921073176E-2</v>
      </c>
      <c r="D1718">
        <f>LOG10(4.240264)</f>
        <v>0.62739289672810095</v>
      </c>
    </row>
    <row r="1719" spans="1:4">
      <c r="A1719">
        <v>1.0477259999999999</v>
      </c>
      <c r="B1719">
        <v>4.1803080000000001</v>
      </c>
      <c r="C1719">
        <f>LOG10(1.047726)</f>
        <v>2.0247721343682849E-2</v>
      </c>
      <c r="D1719">
        <f>LOG10(4.180308)</f>
        <v>0.62120828124215688</v>
      </c>
    </row>
    <row r="1720" spans="1:4">
      <c r="A1720">
        <v>1.0521469999999999</v>
      </c>
      <c r="B1720">
        <v>4.165724</v>
      </c>
      <c r="C1720">
        <f>LOG10(1.052147)</f>
        <v>2.2076421213975954E-2</v>
      </c>
      <c r="D1720">
        <f>LOG10(4.165724)</f>
        <v>0.61969049238855045</v>
      </c>
    </row>
    <row r="1721" spans="1:4">
      <c r="A1721">
        <v>1.0734889999999999</v>
      </c>
      <c r="B1721">
        <v>4.1767370000000001</v>
      </c>
      <c r="C1721">
        <f>LOG10(1.073489)</f>
        <v>3.0797598596415621E-2</v>
      </c>
      <c r="D1721">
        <f>LOG10(4.176737)</f>
        <v>0.62083712955175274</v>
      </c>
    </row>
    <row r="1722" spans="1:4">
      <c r="A1722">
        <v>1.058268</v>
      </c>
      <c r="B1722">
        <v>4.0108949999999997</v>
      </c>
      <c r="C1722">
        <f>LOG10(1.058268)</f>
        <v>2.4595664090713072E-2</v>
      </c>
      <c r="D1722">
        <f>LOG10(4.010895)</f>
        <v>0.60324129286734085</v>
      </c>
    </row>
    <row r="1723" spans="1:4">
      <c r="A1723">
        <v>1.0553380000000001</v>
      </c>
      <c r="B1723">
        <v>4.0054100000000004</v>
      </c>
      <c r="C1723">
        <f>LOG10(1.055338)</f>
        <v>2.3391576245494546E-2</v>
      </c>
      <c r="D1723">
        <f>LOG10(4.00541)</f>
        <v>0.6026469777545842</v>
      </c>
    </row>
    <row r="1724" spans="1:4">
      <c r="A1724">
        <v>1.0702659999999999</v>
      </c>
      <c r="B1724">
        <v>4.1981339999999996</v>
      </c>
      <c r="C1724">
        <f>LOG10(1.070266)</f>
        <v>2.949172906394578E-2</v>
      </c>
      <c r="D1724">
        <f>LOG10(4.198134)</f>
        <v>0.62305629668844842</v>
      </c>
    </row>
    <row r="1725" spans="1:4">
      <c r="A1725">
        <v>1.0629329999999999</v>
      </c>
      <c r="B1725">
        <v>4.2648349999999997</v>
      </c>
      <c r="C1725">
        <f>LOG10(1.062933)</f>
        <v>2.6505890443024996E-2</v>
      </c>
      <c r="D1725">
        <f>LOG10(4.264835)</f>
        <v>0.62990223363351194</v>
      </c>
    </row>
    <row r="1726" spans="1:4">
      <c r="A1726">
        <v>1.063728</v>
      </c>
      <c r="B1726">
        <v>4.2927860000000004</v>
      </c>
      <c r="C1726">
        <f>LOG10(1.063728)</f>
        <v>2.6830591116236348E-2</v>
      </c>
      <c r="D1726">
        <f>LOG10(4.292786)</f>
        <v>0.63273923897195139</v>
      </c>
    </row>
    <row r="1727" spans="1:4">
      <c r="A1727">
        <v>1.050959</v>
      </c>
      <c r="B1727">
        <v>4.362304</v>
      </c>
      <c r="C1727">
        <f>LOG10(1.050959)</f>
        <v>2.15857736675584E-2</v>
      </c>
      <c r="D1727">
        <f>LOG10(4.362304)</f>
        <v>0.63971592738713312</v>
      </c>
    </row>
    <row r="1728" spans="1:4">
      <c r="A1728">
        <v>1.0818589999999999</v>
      </c>
      <c r="B1728">
        <v>4.541283</v>
      </c>
      <c r="C1728">
        <f>LOG10(1.081859)</f>
        <v>3.4170662330416532E-2</v>
      </c>
      <c r="D1728">
        <f>LOG10(4.541283)</f>
        <v>0.65717856675644815</v>
      </c>
    </row>
    <row r="1729" spans="1:4">
      <c r="A1729">
        <v>1.0776699999999999</v>
      </c>
      <c r="B1729">
        <v>4.0157170000000004</v>
      </c>
      <c r="C1729">
        <f>LOG10(1.07767)</f>
        <v>3.248579320711243E-2</v>
      </c>
      <c r="D1729">
        <f>LOG10(4.015717)</f>
        <v>0.60376309913969295</v>
      </c>
    </row>
    <row r="1730" spans="1:4">
      <c r="A1730">
        <v>1.0754010000000001</v>
      </c>
      <c r="B1730">
        <v>3.5671409999999999</v>
      </c>
      <c r="C1730">
        <f>LOG10(1.075401)</f>
        <v>3.1570435985511777E-2</v>
      </c>
      <c r="D1730">
        <f>LOG10(3.567141)</f>
        <v>0.55232027623257607</v>
      </c>
    </row>
    <row r="1731" spans="1:4">
      <c r="A1731">
        <v>1.0576939999999999</v>
      </c>
      <c r="B1731">
        <v>3.4858380000000002</v>
      </c>
      <c r="C1731">
        <f>LOG10(1.057694)</f>
        <v>2.43600407300598E-2</v>
      </c>
      <c r="D1731">
        <f>LOG10(3.485838)</f>
        <v>0.54230719994526233</v>
      </c>
    </row>
    <row r="1732" spans="1:4">
      <c r="A1732">
        <v>1.084657</v>
      </c>
      <c r="B1732">
        <v>3.3898130000000002</v>
      </c>
      <c r="C1732">
        <f>LOG10(1.084657)</f>
        <v>3.5292423384528038E-2</v>
      </c>
      <c r="D1732">
        <f>LOG10(3.389813)</f>
        <v>0.53017574088504504</v>
      </c>
    </row>
    <row r="1733" spans="1:4">
      <c r="A1733">
        <v>1.1225609999999999</v>
      </c>
      <c r="B1733">
        <v>3.4689559999999999</v>
      </c>
      <c r="C1733">
        <f>LOG10(1.122561)</f>
        <v>5.0209949892372777E-2</v>
      </c>
      <c r="D1733">
        <f>LOG10(3.468956)</f>
        <v>0.54019879131557047</v>
      </c>
    </row>
    <row r="1734" spans="1:4">
      <c r="A1734">
        <v>1.122905</v>
      </c>
      <c r="B1734">
        <v>3.30362</v>
      </c>
      <c r="C1734">
        <f>LOG10(1.122905)</f>
        <v>5.0343015637250264E-2</v>
      </c>
      <c r="D1734">
        <f>LOG10(3.30362)</f>
        <v>0.51899008665252611</v>
      </c>
    </row>
    <row r="1735" spans="1:4">
      <c r="A1735">
        <v>1.172401</v>
      </c>
      <c r="B1735">
        <v>3.597788</v>
      </c>
      <c r="C1735">
        <f>LOG10(1.172401)</f>
        <v>6.9076180198244283E-2</v>
      </c>
      <c r="D1735">
        <f>LOG10(3.597788)</f>
        <v>0.55603556891983286</v>
      </c>
    </row>
    <row r="1736" spans="1:4">
      <c r="A1736">
        <v>1.147921</v>
      </c>
      <c r="B1736">
        <v>3.6364190000000001</v>
      </c>
      <c r="C1736">
        <f>LOG10(1.147921)</f>
        <v>5.9912000915067772E-2</v>
      </c>
      <c r="D1736">
        <f>LOG10(3.636419)</f>
        <v>0.56067391825288992</v>
      </c>
    </row>
    <row r="1737" spans="1:4">
      <c r="A1737">
        <v>1.1457120000000001</v>
      </c>
      <c r="B1737">
        <v>3.786295</v>
      </c>
      <c r="C1737">
        <f>LOG10(1.145712)</f>
        <v>5.9075461846135893E-2</v>
      </c>
      <c r="D1737">
        <f>LOG10(3.786295)</f>
        <v>0.57821444794818844</v>
      </c>
    </row>
    <row r="1738" spans="1:4">
      <c r="A1738">
        <v>1.110724</v>
      </c>
      <c r="B1738">
        <v>3.5611929999999998</v>
      </c>
      <c r="C1738">
        <f>LOG10(1.110724)</f>
        <v>4.5606155999168389E-2</v>
      </c>
      <c r="D1738">
        <f>LOG10(3.561193)</f>
        <v>0.5515955110411932</v>
      </c>
    </row>
    <row r="1739" spans="1:4">
      <c r="A1739">
        <v>1.1873020000000001</v>
      </c>
      <c r="B1739">
        <v>3.6873610000000001</v>
      </c>
      <c r="C1739">
        <f>LOG10(1.187302)</f>
        <v>7.4561199368828435E-2</v>
      </c>
      <c r="D1739">
        <f>LOG10(3.687361)</f>
        <v>0.56671565798397494</v>
      </c>
    </row>
    <row r="1740" spans="1:4">
      <c r="A1740">
        <v>1.190115</v>
      </c>
      <c r="B1740">
        <v>3.7237140000000002</v>
      </c>
      <c r="C1740">
        <f>LOG10(1.190115)</f>
        <v>7.5588928999522645E-2</v>
      </c>
      <c r="D1740">
        <f>LOG10(3.723714)</f>
        <v>0.57097631758545675</v>
      </c>
    </row>
    <row r="1741" spans="1:4">
      <c r="A1741">
        <v>1.177513</v>
      </c>
      <c r="B1741">
        <v>3.9456060000000002</v>
      </c>
      <c r="C1741">
        <f>LOG10(1.177513)</f>
        <v>7.0965710533077347E-2</v>
      </c>
      <c r="D1741">
        <f>LOG10(3.945606)</f>
        <v>0.59611371533861768</v>
      </c>
    </row>
    <row r="1742" spans="1:4">
      <c r="A1742">
        <v>1.189557</v>
      </c>
      <c r="B1742">
        <v>3.8240400000000001</v>
      </c>
      <c r="C1742">
        <f>LOG10(1.189557)</f>
        <v>7.5385256959557848E-2</v>
      </c>
      <c r="D1742">
        <f>LOG10(3.82404)</f>
        <v>0.58252242640961172</v>
      </c>
    </row>
    <row r="1743" spans="1:4">
      <c r="A1743">
        <v>1.197373</v>
      </c>
      <c r="B1743">
        <v>3.6487569999999998</v>
      </c>
      <c r="C1743">
        <f>LOG10(1.197373)</f>
        <v>7.8229460855584895E-2</v>
      </c>
      <c r="D1743">
        <f>LOG10(3.648757)</f>
        <v>0.56214494117413372</v>
      </c>
    </row>
    <row r="1744" spans="1:4">
      <c r="A1744">
        <v>1.1815450000000001</v>
      </c>
      <c r="B1744">
        <v>3.7151999999999998</v>
      </c>
      <c r="C1744">
        <f>LOG10(1.181545)</f>
        <v>7.2450266704334895E-2</v>
      </c>
      <c r="D1744">
        <f>LOG10(3.7152)</f>
        <v>0.56998219805847983</v>
      </c>
    </row>
    <row r="1745" spans="1:4">
      <c r="A1745">
        <v>1.1564160000000001</v>
      </c>
      <c r="B1745">
        <v>4.3067200000000003</v>
      </c>
      <c r="C1745">
        <f>LOG10(1.156416)</f>
        <v>6.3114091874130113E-2</v>
      </c>
      <c r="D1745">
        <f>LOG10(4.30672)</f>
        <v>0.634146637165939</v>
      </c>
    </row>
    <row r="1746" spans="1:4">
      <c r="A1746">
        <v>1.157953</v>
      </c>
      <c r="B1746">
        <v>4.0104800000000003</v>
      </c>
      <c r="C1746">
        <f>LOG10(1.157953)</f>
        <v>6.3690932228299441E-2</v>
      </c>
      <c r="D1746">
        <f>LOG10(4.01048)</f>
        <v>0.60319635488347889</v>
      </c>
    </row>
    <row r="1747" spans="1:4">
      <c r="A1747">
        <v>1.1908890000000001</v>
      </c>
      <c r="B1747">
        <v>2.5888520000000002</v>
      </c>
      <c r="C1747">
        <f>LOG10(1.190889)</f>
        <v>7.5871283788370991E-2</v>
      </c>
      <c r="D1747">
        <f>LOG10(2.588852)</f>
        <v>0.41310722331221994</v>
      </c>
    </row>
    <row r="1748" spans="1:4">
      <c r="A1748">
        <v>1.015631</v>
      </c>
      <c r="B1748">
        <v>4.0785799999999997</v>
      </c>
      <c r="C1748">
        <f>LOG10(1.015631)</f>
        <v>6.7359483295598059E-3</v>
      </c>
      <c r="D1748">
        <f>LOG10(4.07858)</f>
        <v>0.61050898526959019</v>
      </c>
    </row>
    <row r="1749" spans="1:4">
      <c r="A1749">
        <v>1.0144580000000001</v>
      </c>
      <c r="B1749">
        <v>3.8942350000000001</v>
      </c>
      <c r="C1749">
        <f>LOG10(1.014458)</f>
        <v>6.2340713340535573E-3</v>
      </c>
      <c r="D1749">
        <f>LOG10(3.894235)</f>
        <v>0.59042215574173573</v>
      </c>
    </row>
    <row r="1750" spans="1:4">
      <c r="A1750">
        <v>1.0170170000000001</v>
      </c>
      <c r="B1750">
        <v>3.8362620000000001</v>
      </c>
      <c r="C1750">
        <f>LOG10(1.017017)</f>
        <v>7.3282124551797279E-3</v>
      </c>
      <c r="D1750">
        <f>LOG10(3.836262)</f>
        <v>0.58390825993466733</v>
      </c>
    </row>
    <row r="1751" spans="1:4">
      <c r="A1751">
        <v>1.0204150000000001</v>
      </c>
      <c r="B1751">
        <v>4.3292450000000002</v>
      </c>
      <c r="C1751">
        <f>LOG10(1.020415)</f>
        <v>8.77683407078623E-3</v>
      </c>
      <c r="D1751">
        <f>LOG10(4.329245)</f>
        <v>0.63641216403844247</v>
      </c>
    </row>
    <row r="1752" spans="1:4">
      <c r="A1752">
        <v>1.02159</v>
      </c>
      <c r="B1752">
        <v>4.2541500000000001</v>
      </c>
      <c r="C1752">
        <f>LOG10(1.02159)</f>
        <v>9.276633113938771E-3</v>
      </c>
      <c r="D1752">
        <f>LOG10(4.25415)</f>
        <v>0.62881279892444186</v>
      </c>
    </row>
    <row r="1753" spans="1:4">
      <c r="A1753">
        <v>1.0194700000000001</v>
      </c>
      <c r="B1753">
        <v>4.6751550000000002</v>
      </c>
      <c r="C1753">
        <f>LOG10(1.01947)</f>
        <v>8.3744502944871138E-3</v>
      </c>
      <c r="D1753">
        <f>LOG10(4.675155)</f>
        <v>0.66979601403822464</v>
      </c>
    </row>
    <row r="1754" spans="1:4">
      <c r="A1754">
        <v>1.02643</v>
      </c>
      <c r="B1754">
        <v>3.9260549999999999</v>
      </c>
      <c r="C1754">
        <f>LOG10(1.02643)</f>
        <v>1.1329336901609992E-2</v>
      </c>
      <c r="D1754">
        <f>LOG10(3.926055)</f>
        <v>0.59395637932644108</v>
      </c>
    </row>
    <row r="1755" spans="1:4">
      <c r="A1755">
        <v>1.0245610000000001</v>
      </c>
      <c r="B1755">
        <v>3.8726470000000002</v>
      </c>
      <c r="C1755">
        <f>LOG10(1.024561)</f>
        <v>1.0537820399239435E-2</v>
      </c>
      <c r="D1755">
        <f>LOG10(3.872647)</f>
        <v>0.58800791192566937</v>
      </c>
    </row>
    <row r="1756" spans="1:4">
      <c r="A1756">
        <v>1.0167189999999999</v>
      </c>
      <c r="B1756">
        <v>4.0790470000000001</v>
      </c>
      <c r="C1756">
        <f>LOG10(1.016719)</f>
        <v>7.2009395382097137E-3</v>
      </c>
      <c r="D1756">
        <f>LOG10(4.079047)</f>
        <v>0.61055870941688706</v>
      </c>
    </row>
    <row r="1757" spans="1:4">
      <c r="A1757">
        <v>1.025542</v>
      </c>
      <c r="B1757">
        <v>4.160164</v>
      </c>
      <c r="C1757">
        <f>LOG10(1.025542)</f>
        <v>1.0953451144879695E-2</v>
      </c>
      <c r="D1757">
        <f>LOG10(4.160164)</f>
        <v>0.61911045151403332</v>
      </c>
    </row>
    <row r="1758" spans="1:4">
      <c r="A1758">
        <v>1.022653</v>
      </c>
      <c r="B1758">
        <v>4.0827720000000003</v>
      </c>
      <c r="C1758">
        <f>LOG10(1.022653)</f>
        <v>9.7282967134943894E-3</v>
      </c>
      <c r="D1758">
        <f>LOG10(4.082772)</f>
        <v>0.61095512768036786</v>
      </c>
    </row>
    <row r="1759" spans="1:4">
      <c r="A1759">
        <v>1.0184660000000001</v>
      </c>
      <c r="B1759">
        <v>3.9611290000000001</v>
      </c>
      <c r="C1759">
        <f>LOG10(1.018466)</f>
        <v>7.9465352911629872E-3</v>
      </c>
      <c r="D1759">
        <f>LOG10(3.961129)</f>
        <v>0.59781898607404893</v>
      </c>
    </row>
    <row r="1760" spans="1:4">
      <c r="A1760">
        <v>1.01481</v>
      </c>
      <c r="B1760">
        <v>3.98142</v>
      </c>
      <c r="C1760">
        <f>LOG10(1.01481)</f>
        <v>6.3847381352480298E-3</v>
      </c>
      <c r="D1760">
        <f>LOG10(3.98142)</f>
        <v>0.60003799372606703</v>
      </c>
    </row>
    <row r="1761" spans="1:4">
      <c r="A1761">
        <v>1.015752</v>
      </c>
      <c r="B1761">
        <v>4.0798709999999998</v>
      </c>
      <c r="C1761">
        <f>LOG10(1.015752)</f>
        <v>6.7876861184183908E-3</v>
      </c>
      <c r="D1761">
        <f>LOG10(4.079871)</f>
        <v>0.61064643150315012</v>
      </c>
    </row>
    <row r="1762" spans="1:4">
      <c r="A1762">
        <v>1.0178130000000001</v>
      </c>
      <c r="B1762">
        <v>3.84375</v>
      </c>
      <c r="C1762">
        <f>LOG10(1.017813)</f>
        <v>7.6679935919123313E-3</v>
      </c>
      <c r="D1762">
        <f>LOG10(3.84375)</f>
        <v>0.58475513311949201</v>
      </c>
    </row>
    <row r="1763" spans="1:4">
      <c r="A1763">
        <v>1.0155369999999999</v>
      </c>
      <c r="B1763">
        <v>3.7670560000000002</v>
      </c>
      <c r="C1763">
        <f>LOG10(1.015537)</f>
        <v>6.6957510821355976E-3</v>
      </c>
      <c r="D1763">
        <f>LOG10(3.767056)</f>
        <v>0.57600207635145317</v>
      </c>
    </row>
    <row r="1764" spans="1:4">
      <c r="A1764">
        <v>1.049766</v>
      </c>
      <c r="B1764">
        <v>4.0138579999999999</v>
      </c>
      <c r="C1764">
        <f>LOG10(1.049766)</f>
        <v>2.1092502656255722E-2</v>
      </c>
      <c r="D1764">
        <f>LOG10(4.013858)</f>
        <v>0.60356200419848283</v>
      </c>
    </row>
    <row r="1765" spans="1:4">
      <c r="A1765">
        <v>1.047121</v>
      </c>
      <c r="B1765">
        <v>4.2477510000000001</v>
      </c>
      <c r="C1765">
        <f>LOG10(1.047121)</f>
        <v>1.9996869449624213E-2</v>
      </c>
      <c r="D1765">
        <f>LOG10(4.247751)</f>
        <v>0.62815905080047119</v>
      </c>
    </row>
    <row r="1766" spans="1:4">
      <c r="A1766">
        <v>1.033536</v>
      </c>
      <c r="B1766">
        <v>4.2411940000000001</v>
      </c>
      <c r="C1766">
        <f>LOG10(1.033536)</f>
        <v>1.4325608519237483E-2</v>
      </c>
      <c r="D1766">
        <f>LOG10(4.241194)</f>
        <v>0.62748813834099082</v>
      </c>
    </row>
    <row r="1767" spans="1:4">
      <c r="A1767">
        <v>1.0264040000000001</v>
      </c>
      <c r="B1767">
        <v>4.3463419999999999</v>
      </c>
      <c r="C1767">
        <f>LOG10(1.026404)</f>
        <v>1.1318335859606569E-2</v>
      </c>
      <c r="D1767">
        <f>LOG10(4.346342)</f>
        <v>0.63812389659771984</v>
      </c>
    </row>
    <row r="1768" spans="1:4">
      <c r="A1768">
        <v>1.0305839999999999</v>
      </c>
      <c r="B1768">
        <v>4.2359809999999998</v>
      </c>
      <c r="C1768">
        <f>LOG10(1.030584)</f>
        <v>1.3083395678277184E-2</v>
      </c>
      <c r="D1768">
        <f>LOG10(4.235981)</f>
        <v>0.62695400346243935</v>
      </c>
    </row>
    <row r="1769" spans="1:4">
      <c r="A1769">
        <v>1.0230429999999999</v>
      </c>
      <c r="B1769">
        <v>4.2179010000000003</v>
      </c>
      <c r="C1769">
        <f>LOG10(1.023043)</f>
        <v>9.8938881307863123E-3</v>
      </c>
      <c r="D1769">
        <f>LOG10(4.217901)</f>
        <v>0.62509638202786721</v>
      </c>
    </row>
    <row r="1770" spans="1:4">
      <c r="A1770">
        <v>1.0309159999999999</v>
      </c>
      <c r="B1770">
        <v>4.2047129999999999</v>
      </c>
      <c r="C1770">
        <f>LOG10(1.030916)</f>
        <v>1.3223280004484734E-2</v>
      </c>
      <c r="D1770">
        <f>LOG10(4.204713)</f>
        <v>0.6237363576202436</v>
      </c>
    </row>
    <row r="1771" spans="1:4">
      <c r="A1771">
        <v>1.0282180000000001</v>
      </c>
      <c r="B1771">
        <v>4.0732910000000002</v>
      </c>
      <c r="C1771">
        <f>LOG10(1.028218)</f>
        <v>1.208520236339109E-2</v>
      </c>
      <c r="D1771">
        <f>LOG10(4.073291)</f>
        <v>0.60994543762829578</v>
      </c>
    </row>
    <row r="1772" spans="1:4">
      <c r="A1772">
        <v>1.0287900000000001</v>
      </c>
      <c r="B1772">
        <v>4.0279769999999999</v>
      </c>
      <c r="C1772">
        <f>LOG10(1.02879)</f>
        <v>1.232673419024991E-2</v>
      </c>
      <c r="D1772">
        <f>LOG10(4.027977)</f>
        <v>0.6050869820400705</v>
      </c>
    </row>
    <row r="1773" spans="1:4">
      <c r="A1773">
        <v>1.0261769999999999</v>
      </c>
      <c r="B1773">
        <v>4.207484</v>
      </c>
      <c r="C1773">
        <f>LOG10(1.026177)</f>
        <v>1.1222276461420535E-2</v>
      </c>
      <c r="D1773">
        <f>LOG10(4.207484)</f>
        <v>0.6240224731386701</v>
      </c>
    </row>
    <row r="1774" spans="1:4">
      <c r="A1774">
        <v>1.0419890000000001</v>
      </c>
      <c r="B1774">
        <v>4.299836</v>
      </c>
      <c r="C1774">
        <f>LOG10(1.041989)</f>
        <v>1.7863134256675683E-2</v>
      </c>
      <c r="D1774">
        <f>LOG10(4.299836)</f>
        <v>0.63345189147416847</v>
      </c>
    </row>
    <row r="1775" spans="1:4">
      <c r="A1775">
        <v>1.0329660000000001</v>
      </c>
      <c r="B1775">
        <v>4.2430620000000001</v>
      </c>
      <c r="C1775">
        <f>LOG10(1.032966)</f>
        <v>1.4086026983906031E-2</v>
      </c>
      <c r="D1775">
        <f>LOG10(4.243062)</f>
        <v>0.62767937776264526</v>
      </c>
    </row>
    <row r="1776" spans="1:4">
      <c r="A1776">
        <v>1.0241530000000001</v>
      </c>
      <c r="B1776">
        <v>4.411429</v>
      </c>
      <c r="C1776">
        <f>LOG10(1.024153)</f>
        <v>1.0364841495440253E-2</v>
      </c>
      <c r="D1776">
        <f>LOG10(4.411429)</f>
        <v>0.64457929384126111</v>
      </c>
    </row>
    <row r="1777" spans="1:4">
      <c r="A1777">
        <v>1.026259</v>
      </c>
      <c r="B1777">
        <v>4.5105199999999996</v>
      </c>
      <c r="C1777">
        <f>LOG10(1.026259)</f>
        <v>1.125697878347596E-2</v>
      </c>
      <c r="D1777">
        <f>LOG10(4.51052)</f>
        <v>0.65422661285631645</v>
      </c>
    </row>
    <row r="1778" spans="1:4">
      <c r="A1778">
        <v>1.0311490000000001</v>
      </c>
      <c r="B1778">
        <v>4.2597230000000001</v>
      </c>
      <c r="C1778">
        <f>LOG10(1.031149)</f>
        <v>1.3321424936593251E-2</v>
      </c>
      <c r="D1778">
        <f>LOG10(4.259723)</f>
        <v>0.62938135884853941</v>
      </c>
    </row>
    <row r="1779" spans="1:4">
      <c r="A1779">
        <v>1.0211380000000001</v>
      </c>
      <c r="B1779">
        <v>3.663932</v>
      </c>
      <c r="C1779">
        <f>LOG10(1.021138)</f>
        <v>9.0844380600461679E-3</v>
      </c>
      <c r="D1779">
        <f>LOG10(3.663932)</f>
        <v>0.56394740487059047</v>
      </c>
    </row>
    <row r="1780" spans="1:4">
      <c r="A1780">
        <v>1.0240670000000001</v>
      </c>
      <c r="B1780">
        <v>3.5817040000000002</v>
      </c>
      <c r="C1780">
        <f>LOG10(1.024067)</f>
        <v>1.0328371462469536E-2</v>
      </c>
      <c r="D1780">
        <f>LOG10(3.581704)</f>
        <v>0.55408969193222701</v>
      </c>
    </row>
    <row r="1781" spans="1:4">
      <c r="A1781">
        <v>1.02406</v>
      </c>
      <c r="B1781">
        <v>3.3677619999999999</v>
      </c>
      <c r="C1781">
        <f>LOG10(1.02406)</f>
        <v>1.0325402836624191E-2</v>
      </c>
      <c r="D1781">
        <f>LOG10(3.367762)</f>
        <v>0.52734139228755539</v>
      </c>
    </row>
    <row r="1782" spans="1:4">
      <c r="A1782">
        <v>1.019007</v>
      </c>
      <c r="B1782">
        <v>3.6189339999999999</v>
      </c>
      <c r="C1782">
        <f>LOG10(1.019007)</f>
        <v>8.1771673733857173E-3</v>
      </c>
      <c r="D1782">
        <f>LOG10(3.618934)</f>
        <v>0.55858066277186957</v>
      </c>
    </row>
    <row r="1783" spans="1:4">
      <c r="A1783">
        <v>1.0197879999999999</v>
      </c>
      <c r="B1783">
        <v>3.4477950000000002</v>
      </c>
      <c r="C1783">
        <f>LOG10(1.019788)</f>
        <v>8.5098972525126243E-3</v>
      </c>
      <c r="D1783">
        <f>LOG10(3.447795)</f>
        <v>0.53754143551243894</v>
      </c>
    </row>
    <row r="1784" spans="1:4">
      <c r="A1784">
        <v>1.022249</v>
      </c>
      <c r="B1784">
        <v>3.6345499999999999</v>
      </c>
      <c r="C1784">
        <f>LOG10(1.022249)</f>
        <v>9.5566943844128845E-3</v>
      </c>
      <c r="D1784">
        <f>LOG10(3.63455)</f>
        <v>0.56045064776320563</v>
      </c>
    </row>
    <row r="1785" spans="1:4">
      <c r="A1785">
        <v>1.0244340000000001</v>
      </c>
      <c r="B1785">
        <v>3.7660269999999998</v>
      </c>
      <c r="C1785">
        <f>LOG10(1.024434)</f>
        <v>1.0483983860573075E-2</v>
      </c>
      <c r="D1785">
        <f>LOG10(3.766027)</f>
        <v>0.57588342930490977</v>
      </c>
    </row>
    <row r="1786" spans="1:4">
      <c r="A1786">
        <v>1.015862</v>
      </c>
      <c r="B1786">
        <v>4.0324780000000002</v>
      </c>
      <c r="C1786">
        <f>LOG10(1.015862)</f>
        <v>6.8347151239834874E-3</v>
      </c>
      <c r="D1786">
        <f>LOG10(4.032478)</f>
        <v>0.60557200668600475</v>
      </c>
    </row>
    <row r="1787" spans="1:4">
      <c r="A1787">
        <v>1.0157389999999999</v>
      </c>
      <c r="B1787">
        <v>4.0577259999999997</v>
      </c>
      <c r="C1787">
        <f>LOG10(1.015739)</f>
        <v>6.7821278085220269E-3</v>
      </c>
      <c r="D1787">
        <f>LOG10(4.057726)</f>
        <v>0.60828271773290954</v>
      </c>
    </row>
    <row r="1788" spans="1:4">
      <c r="A1788">
        <v>1.026538</v>
      </c>
      <c r="B1788">
        <v>3.950809</v>
      </c>
      <c r="C1788">
        <f>LOG10(1.026538)</f>
        <v>1.1375030554982884E-2</v>
      </c>
      <c r="D1788">
        <f>LOG10(3.950809)</f>
        <v>0.59668603442680024</v>
      </c>
    </row>
    <row r="1789" spans="1:4">
      <c r="A1789">
        <v>1.0214650000000001</v>
      </c>
      <c r="B1789">
        <v>4.100695</v>
      </c>
      <c r="C1789">
        <f>LOG10(1.021465)</f>
        <v>9.2234903348108327E-3</v>
      </c>
      <c r="D1789">
        <f>LOG10(4.100695)</f>
        <v>0.61285746869180502</v>
      </c>
    </row>
    <row r="1790" spans="1:4">
      <c r="A1790">
        <v>1.0213570000000001</v>
      </c>
      <c r="B1790">
        <v>4.3045520000000002</v>
      </c>
      <c r="C1790">
        <f>LOG10(1.021357)</f>
        <v>9.1775697366488305E-3</v>
      </c>
      <c r="D1790">
        <f>LOG10(4.304552)</f>
        <v>0.63392795856499373</v>
      </c>
    </row>
    <row r="1791" spans="1:4">
      <c r="A1791">
        <v>1.0213920000000001</v>
      </c>
      <c r="B1791">
        <v>4.2002540000000002</v>
      </c>
      <c r="C1791">
        <f>LOG10(1.021392)</f>
        <v>9.1924519437805979E-3</v>
      </c>
      <c r="D1791">
        <f>LOG10(4.200254)</f>
        <v>0.62327555407955515</v>
      </c>
    </row>
    <row r="1792" spans="1:4">
      <c r="A1792">
        <v>1.0289889999999999</v>
      </c>
      <c r="B1792">
        <v>4.0792520000000003</v>
      </c>
      <c r="C1792">
        <f>LOG10(1.028989)</f>
        <v>1.2410732133827032E-2</v>
      </c>
      <c r="D1792">
        <f>LOG10(4.079252)</f>
        <v>0.61058053513541222</v>
      </c>
    </row>
    <row r="1793" spans="1:4">
      <c r="A1793">
        <v>1.025876</v>
      </c>
      <c r="B1793">
        <v>4.0607749999999996</v>
      </c>
      <c r="C1793">
        <f>LOG10(1.025876)</f>
        <v>1.1094869771641704E-2</v>
      </c>
      <c r="D1793">
        <f>LOG10(4.060775)</f>
        <v>0.60860892670611266</v>
      </c>
    </row>
    <row r="1794" spans="1:4">
      <c r="A1794">
        <v>1.0163580000000001</v>
      </c>
      <c r="B1794">
        <v>4.4713589999999996</v>
      </c>
      <c r="C1794">
        <f>LOG10(1.016358)</f>
        <v>7.0467099545641386E-3</v>
      </c>
      <c r="D1794">
        <f>LOG10(4.471359)</f>
        <v>0.6504395402459906</v>
      </c>
    </row>
    <row r="1795" spans="1:4">
      <c r="A1795">
        <v>1.181894</v>
      </c>
      <c r="B1795">
        <v>4.0364209999999998</v>
      </c>
      <c r="C1795">
        <f>LOG10(1.181894)</f>
        <v>7.2578527916311072E-2</v>
      </c>
      <c r="D1795">
        <f>LOG10(4.036421)</f>
        <v>0.60599645698051219</v>
      </c>
    </row>
    <row r="1796" spans="1:4">
      <c r="A1796">
        <v>1.1809130000000001</v>
      </c>
      <c r="B1796">
        <v>3.6928030000000001</v>
      </c>
      <c r="C1796">
        <f>LOG10(1.180913)</f>
        <v>7.2217903530800806E-2</v>
      </c>
      <c r="D1796">
        <f>LOG10(3.692803)</f>
        <v>0.56735613995669953</v>
      </c>
    </row>
    <row r="1797" spans="1:4">
      <c r="A1797">
        <v>1.138943</v>
      </c>
      <c r="B1797">
        <v>3.7428910000000002</v>
      </c>
      <c r="C1797">
        <f>LOG10(1.138943)</f>
        <v>5.6501989746438275E-2</v>
      </c>
      <c r="D1797">
        <f>LOG10(3.742891)</f>
        <v>0.57320717982940783</v>
      </c>
    </row>
    <row r="1798" spans="1:4">
      <c r="A1798">
        <v>1.118752</v>
      </c>
      <c r="B1798">
        <v>3.9455689999999999</v>
      </c>
      <c r="C1798">
        <f>LOG10(1.118752)</f>
        <v>4.8733824715644275E-2</v>
      </c>
      <c r="D1798">
        <f>LOG10(3.945569)</f>
        <v>0.59610964271424161</v>
      </c>
    </row>
    <row r="1799" spans="1:4">
      <c r="A1799">
        <v>1.1163749999999999</v>
      </c>
      <c r="B1799">
        <v>4.3446350000000002</v>
      </c>
      <c r="C1799">
        <f>LOG10(1.116375)</f>
        <v>4.7810102374443574E-2</v>
      </c>
      <c r="D1799">
        <f>LOG10(4.344635)</f>
        <v>0.63795329651670674</v>
      </c>
    </row>
    <row r="1800" spans="1:4">
      <c r="A1800">
        <v>1.118649</v>
      </c>
      <c r="B1800">
        <v>4.297644</v>
      </c>
      <c r="C1800">
        <f>LOG10(1.118649)</f>
        <v>4.8693838739355164E-2</v>
      </c>
      <c r="D1800">
        <f>LOG10(4.297644)</f>
        <v>0.63323043739112106</v>
      </c>
    </row>
    <row r="1801" spans="1:4">
      <c r="A1801">
        <v>1.131977</v>
      </c>
      <c r="B1801">
        <v>4.0510109999999999</v>
      </c>
      <c r="C1801">
        <f>LOG10(1.131977)</f>
        <v>5.3837602758117296E-2</v>
      </c>
      <c r="D1801">
        <f>LOG10(4.051011)</f>
        <v>0.60756342245606787</v>
      </c>
    </row>
    <row r="1802" spans="1:4">
      <c r="A1802">
        <v>1.128652</v>
      </c>
      <c r="B1802">
        <v>3.9637829999999998</v>
      </c>
      <c r="C1802">
        <f>LOG10(1.128652)</f>
        <v>5.2560055497033603E-2</v>
      </c>
      <c r="D1802">
        <f>LOG10(3.963783)</f>
        <v>0.59810987071682131</v>
      </c>
    </row>
    <row r="1803" spans="1:4">
      <c r="A1803">
        <v>1.122509</v>
      </c>
      <c r="B1803">
        <v>4.3217610000000004</v>
      </c>
      <c r="C1803">
        <f>LOG10(1.122509)</f>
        <v>5.0189831755242997E-2</v>
      </c>
      <c r="D1803">
        <f>LOG10(4.321761)</f>
        <v>0.63566074606152811</v>
      </c>
    </row>
    <row r="1804" spans="1:4">
      <c r="A1804">
        <v>1.1245639999999999</v>
      </c>
      <c r="B1804">
        <v>3.993608</v>
      </c>
      <c r="C1804">
        <f>LOG10(1.124564)</f>
        <v>5.0984176584377761E-2</v>
      </c>
      <c r="D1804">
        <f>LOG10(3.993608)</f>
        <v>0.60136543364637307</v>
      </c>
    </row>
    <row r="1805" spans="1:4">
      <c r="A1805">
        <v>1.093556</v>
      </c>
      <c r="B1805">
        <v>4.0996839999999999</v>
      </c>
      <c r="C1805">
        <f>LOG10(1.093556)</f>
        <v>3.8841027765298228E-2</v>
      </c>
      <c r="D1805">
        <f>LOG10(4.099684)</f>
        <v>0.61275038297700357</v>
      </c>
    </row>
    <row r="1806" spans="1:4">
      <c r="A1806">
        <v>1.118287</v>
      </c>
      <c r="B1806">
        <v>3.9713180000000001</v>
      </c>
      <c r="C1806">
        <f>LOG10(1.118287)</f>
        <v>4.8553276288018719E-2</v>
      </c>
      <c r="D1806">
        <f>LOG10(3.971318)</f>
        <v>0.59893466422725494</v>
      </c>
    </row>
    <row r="1807" spans="1:4">
      <c r="A1807">
        <v>1.1076980000000001</v>
      </c>
      <c r="B1807">
        <v>4.0986310000000001</v>
      </c>
      <c r="C1807">
        <f>LOG10(1.107698)</f>
        <v>4.4421371573766029E-2</v>
      </c>
      <c r="D1807">
        <f>LOG10(4.098631)</f>
        <v>0.61263882051765461</v>
      </c>
    </row>
    <row r="1808" spans="1:4">
      <c r="A1808">
        <v>1.1166469999999999</v>
      </c>
      <c r="B1808">
        <v>3.803925</v>
      </c>
      <c r="C1808">
        <f>LOG10(1.116647)</f>
        <v>4.7915903481339908E-2</v>
      </c>
      <c r="D1808">
        <f>LOG10(3.803925)</f>
        <v>0.58023194559259927</v>
      </c>
    </row>
    <row r="1809" spans="1:4">
      <c r="A1809">
        <v>1.1166100000000001</v>
      </c>
      <c r="B1809">
        <v>4.0130980000000003</v>
      </c>
      <c r="C1809">
        <f>LOG10(1.11661)</f>
        <v>4.7901512933515078E-2</v>
      </c>
      <c r="D1809">
        <f>LOG10(4.013098)</f>
        <v>0.6034797653504731</v>
      </c>
    </row>
    <row r="1810" spans="1:4">
      <c r="A1810">
        <v>1.0937570000000001</v>
      </c>
      <c r="B1810">
        <v>3.9522629999999999</v>
      </c>
      <c r="C1810">
        <f>LOG10(1.093757)</f>
        <v>3.8920845506159561E-2</v>
      </c>
      <c r="D1810">
        <f>LOG10(3.952263)</f>
        <v>0.59684583663632373</v>
      </c>
    </row>
    <row r="1811" spans="1:4">
      <c r="A1811">
        <v>1.108965</v>
      </c>
      <c r="B1811">
        <v>4.0387240000000002</v>
      </c>
      <c r="C1811">
        <f>LOG10(1.108965)</f>
        <v>4.4917839614685547E-2</v>
      </c>
      <c r="D1811">
        <f>LOG10(4.038724)</f>
        <v>0.60624417518716744</v>
      </c>
    </row>
    <row r="1812" spans="1:4">
      <c r="A1812">
        <v>1.0884750000000001</v>
      </c>
      <c r="B1812">
        <v>3.8083879999999999</v>
      </c>
      <c r="C1812">
        <f>LOG10(1.088475)</f>
        <v>3.6818458653427269E-2</v>
      </c>
      <c r="D1812">
        <f>LOG10(3.808388)</f>
        <v>0.58074118805144581</v>
      </c>
    </row>
    <row r="1813" spans="1:4">
      <c r="A1813">
        <v>1.113556</v>
      </c>
      <c r="B1813">
        <v>3.9708709999999998</v>
      </c>
      <c r="C1813">
        <f>LOG10(1.113556)</f>
        <v>4.6712062303550989E-2</v>
      </c>
      <c r="D1813">
        <f>LOG10(3.970871)</f>
        <v>0.59888577855263403</v>
      </c>
    </row>
    <row r="1814" spans="1:4">
      <c r="A1814">
        <v>1.1102529999999999</v>
      </c>
      <c r="B1814">
        <v>3.7703280000000001</v>
      </c>
      <c r="C1814">
        <f>LOG10(1.110253)</f>
        <v>4.5421955348695246E-2</v>
      </c>
      <c r="D1814">
        <f>LOG10(3.770328)</f>
        <v>0.57637913333410085</v>
      </c>
    </row>
    <row r="1815" spans="1:4">
      <c r="A1815">
        <v>1.074092</v>
      </c>
      <c r="B1815">
        <v>3.9660280000000001</v>
      </c>
      <c r="C1815">
        <f>LOG10(1.074092)</f>
        <v>3.1041481904630526E-2</v>
      </c>
      <c r="D1815">
        <f>LOG10(3.966028)</f>
        <v>0.59835577598188294</v>
      </c>
    </row>
    <row r="1816" spans="1:4">
      <c r="A1816">
        <v>1.1003210000000001</v>
      </c>
      <c r="B1816">
        <v>3.8270849999999998</v>
      </c>
      <c r="C1816">
        <f>LOG10(1.100321)</f>
        <v>4.1519401696112027E-2</v>
      </c>
      <c r="D1816">
        <f>LOG10(3.827085)</f>
        <v>0.58286810806223521</v>
      </c>
    </row>
    <row r="1817" spans="1:4">
      <c r="A1817">
        <v>1.0766119999999999</v>
      </c>
      <c r="B1817">
        <v>3.7920430000000001</v>
      </c>
      <c r="C1817">
        <f>LOG10(1.076612)</f>
        <v>3.2059216186281186E-2</v>
      </c>
      <c r="D1817">
        <f>LOG10(3.792043)</f>
        <v>0.57887325339093387</v>
      </c>
    </row>
    <row r="1818" spans="1:4">
      <c r="A1818">
        <v>1.1008340000000001</v>
      </c>
      <c r="B1818">
        <v>3.7812619999999999</v>
      </c>
      <c r="C1818">
        <f>LOG10(1.100834)</f>
        <v>4.1721834576350043E-2</v>
      </c>
      <c r="D1818">
        <f>LOG10(3.781262)</f>
        <v>0.57763677025122528</v>
      </c>
    </row>
    <row r="1819" spans="1:4">
      <c r="A1819">
        <v>1.1292770000000001</v>
      </c>
      <c r="B1819">
        <v>3.8597229999999998</v>
      </c>
      <c r="C1819">
        <f>LOG10(1.129277)</f>
        <v>5.2800482949023418E-2</v>
      </c>
      <c r="D1819">
        <f>LOG10(3.859723)</f>
        <v>0.58655613786135541</v>
      </c>
    </row>
    <row r="1820" spans="1:4">
      <c r="A1820">
        <v>1.051695</v>
      </c>
      <c r="B1820">
        <v>3.7145229999999998</v>
      </c>
      <c r="C1820">
        <f>LOG10(1.051695)</f>
        <v>2.1889809188129394E-2</v>
      </c>
      <c r="D1820">
        <f>LOG10(3.714523)</f>
        <v>0.56990305180630796</v>
      </c>
    </row>
    <row r="1821" spans="1:4">
      <c r="A1821">
        <v>1.098956</v>
      </c>
      <c r="B1821">
        <v>3.8154690000000002</v>
      </c>
      <c r="C1821">
        <f>LOG10(1.098956)</f>
        <v>4.0980304489240497E-2</v>
      </c>
      <c r="D1821">
        <f>LOG10(3.815469)</f>
        <v>0.58154792934018007</v>
      </c>
    </row>
    <row r="1822" spans="1:4">
      <c r="A1822">
        <v>1.0967990000000001</v>
      </c>
      <c r="B1822">
        <v>3.5676540000000001</v>
      </c>
      <c r="C1822">
        <f>LOG10(1.096799)</f>
        <v>4.0127045816212036E-2</v>
      </c>
      <c r="D1822">
        <f>LOG10(3.567654)</f>
        <v>0.55238272878225703</v>
      </c>
    </row>
    <row r="1823" spans="1:4">
      <c r="A1823">
        <v>1.099426</v>
      </c>
      <c r="B1823">
        <v>3.8061210000000001</v>
      </c>
      <c r="C1823">
        <f>LOG10(1.099426)</f>
        <v>4.1166003252789726E-2</v>
      </c>
      <c r="D1823">
        <f>LOG10(3.806121)</f>
        <v>0.58048259078153275</v>
      </c>
    </row>
    <row r="1824" spans="1:4">
      <c r="A1824">
        <v>1.1083559999999999</v>
      </c>
      <c r="B1824">
        <v>3.6672530000000001</v>
      </c>
      <c r="C1824">
        <f>LOG10(1.108356)</f>
        <v>4.4679276640601354E-2</v>
      </c>
      <c r="D1824">
        <f>LOG10(3.667253)</f>
        <v>0.56434087252228837</v>
      </c>
    </row>
    <row r="1825" spans="1:4">
      <c r="A1825">
        <v>1.1337250000000001</v>
      </c>
      <c r="B1825">
        <v>3.684205</v>
      </c>
      <c r="C1825">
        <f>LOG10(1.133725)</f>
        <v>5.4507723458003393E-2</v>
      </c>
      <c r="D1825">
        <f>LOG10(3.684205)</f>
        <v>0.56634378761921644</v>
      </c>
    </row>
    <row r="1826" spans="1:4">
      <c r="A1826">
        <v>1.1036790000000001</v>
      </c>
      <c r="B1826">
        <v>3.7870729999999999</v>
      </c>
      <c r="C1826">
        <f>LOG10(1.103679)</f>
        <v>4.2842779190378558E-2</v>
      </c>
      <c r="D1826">
        <f>LOG10(3.787073)</f>
        <v>0.57830367670562088</v>
      </c>
    </row>
    <row r="1827" spans="1:4">
      <c r="A1827">
        <v>1.128698</v>
      </c>
      <c r="B1827">
        <v>3.7825660000000001</v>
      </c>
      <c r="C1827">
        <f>LOG10(1.128698)</f>
        <v>5.2577755495855506E-2</v>
      </c>
      <c r="D1827">
        <f>LOG10(3.782566)</f>
        <v>0.57778651453679408</v>
      </c>
    </row>
    <row r="1828" spans="1:4">
      <c r="A1828">
        <v>1.115324</v>
      </c>
      <c r="B1828">
        <v>3.708196</v>
      </c>
      <c r="C1828">
        <f>LOG10(1.115324)</f>
        <v>4.7401047628060168E-2</v>
      </c>
      <c r="D1828">
        <f>LOG10(3.708196)</f>
        <v>0.56916268110051271</v>
      </c>
    </row>
    <row r="1829" spans="1:4">
      <c r="A1829">
        <v>1.113273</v>
      </c>
      <c r="B1829">
        <v>3.7416149999999999</v>
      </c>
      <c r="C1829">
        <f>LOG10(1.113273)</f>
        <v>4.6601676334048783E-2</v>
      </c>
      <c r="D1829">
        <f>LOG10(3.741615)</f>
        <v>0.57305909797489996</v>
      </c>
    </row>
    <row r="1830" spans="1:4">
      <c r="A1830">
        <v>1.1369469999999999</v>
      </c>
      <c r="B1830">
        <v>3.9919630000000002</v>
      </c>
      <c r="C1830">
        <f>LOG10(1.136947)</f>
        <v>5.5740220057983014E-2</v>
      </c>
      <c r="D1830">
        <f>LOG10(3.991963)</f>
        <v>0.6011865073221726</v>
      </c>
    </row>
    <row r="1831" spans="1:4">
      <c r="A1831">
        <v>1.128236</v>
      </c>
      <c r="B1831">
        <v>3.9346709999999998</v>
      </c>
      <c r="C1831">
        <f>LOG10(1.128236)</f>
        <v>5.2399953173375695E-2</v>
      </c>
      <c r="D1831">
        <f>LOG10(3.934671)</f>
        <v>0.59490842440588365</v>
      </c>
    </row>
    <row r="1832" spans="1:4">
      <c r="A1832">
        <v>1.063445</v>
      </c>
      <c r="B1832">
        <v>3.727938</v>
      </c>
      <c r="C1832">
        <f>LOG10(1.063445)</f>
        <v>2.6715033670646576E-2</v>
      </c>
      <c r="D1832">
        <f>LOG10(3.727938)</f>
        <v>0.57146868091322478</v>
      </c>
    </row>
    <row r="1833" spans="1:4">
      <c r="A1833">
        <v>1.143732</v>
      </c>
      <c r="B1833">
        <v>4.0654899999999996</v>
      </c>
      <c r="C1833">
        <f>LOG10(1.143732)</f>
        <v>5.8324272222318368E-2</v>
      </c>
      <c r="D1833">
        <f>LOG10(4.06549)</f>
        <v>0.60911289715550387</v>
      </c>
    </row>
    <row r="1834" spans="1:4">
      <c r="A1834">
        <v>1.1424430000000001</v>
      </c>
      <c r="B1834">
        <v>4.0498149999999997</v>
      </c>
      <c r="C1834">
        <f>LOG10(1.142443)</f>
        <v>5.7834540993087463E-2</v>
      </c>
      <c r="D1834">
        <f>LOG10(4.049815)</f>
        <v>0.60743518461856083</v>
      </c>
    </row>
    <row r="1835" spans="1:4">
      <c r="A1835">
        <v>1.1267510000000001</v>
      </c>
      <c r="B1835">
        <v>4.0258750000000001</v>
      </c>
      <c r="C1835">
        <f>LOG10(1.126751)</f>
        <v>5.1827952182810298E-2</v>
      </c>
      <c r="D1835">
        <f>LOG10(4.025875)</f>
        <v>0.60486028628710942</v>
      </c>
    </row>
    <row r="1836" spans="1:4">
      <c r="A1836">
        <v>1.1226400000000001</v>
      </c>
      <c r="B1836">
        <v>3.92625</v>
      </c>
      <c r="C1836">
        <f>LOG10(1.12264)</f>
        <v>5.0240512202014177E-2</v>
      </c>
      <c r="D1836">
        <f>LOG10(3.92625)</f>
        <v>0.59397794940656123</v>
      </c>
    </row>
    <row r="1837" spans="1:4">
      <c r="A1837">
        <v>1.137372</v>
      </c>
      <c r="B1837">
        <v>4.1530319999999996</v>
      </c>
      <c r="C1837">
        <f>LOG10(1.137372)</f>
        <v>5.5902532518950353E-2</v>
      </c>
      <c r="D1837">
        <f>LOG10(4.153032)</f>
        <v>0.61836527745466008</v>
      </c>
    </row>
    <row r="1838" spans="1:4">
      <c r="A1838">
        <v>1.1002510000000001</v>
      </c>
      <c r="B1838">
        <v>4.2313289999999997</v>
      </c>
      <c r="C1838">
        <f>LOG10(1.100251)</f>
        <v>4.1491771958258879E-2</v>
      </c>
      <c r="D1838">
        <f>LOG10(4.231329)</f>
        <v>0.62647679449451632</v>
      </c>
    </row>
    <row r="1839" spans="1:4">
      <c r="A1839">
        <v>1.0944290000000001</v>
      </c>
      <c r="B1839">
        <v>4.1290050000000003</v>
      </c>
      <c r="C1839">
        <f>LOG10(1.094429)</f>
        <v>3.91875923924059E-2</v>
      </c>
      <c r="D1839">
        <f>LOG10(4.129005)</f>
        <v>0.61584540878196659</v>
      </c>
    </row>
    <row r="1840" spans="1:4">
      <c r="A1840">
        <v>1.1434299999999999</v>
      </c>
      <c r="B1840">
        <v>3.8206540000000002</v>
      </c>
      <c r="C1840">
        <f>LOG10(1.14343)</f>
        <v>5.8209582546381963E-2</v>
      </c>
      <c r="D1840">
        <f>LOG10(3.820654)</f>
        <v>0.58213770958199595</v>
      </c>
    </row>
    <row r="1841" spans="1:4">
      <c r="A1841">
        <v>1.1296349999999999</v>
      </c>
      <c r="B1841">
        <v>4.0032690000000004</v>
      </c>
      <c r="C1841">
        <f>LOG10(1.129635)</f>
        <v>5.293813986157514E-2</v>
      </c>
      <c r="D1841">
        <f>LOG10(4.003269)</f>
        <v>0.60241477354015482</v>
      </c>
    </row>
    <row r="1842" spans="1:4">
      <c r="A1842">
        <v>1.1270340000000001</v>
      </c>
      <c r="B1842">
        <v>3.464162</v>
      </c>
      <c r="C1842">
        <f>LOG10(1.127034)</f>
        <v>5.1937017900280762E-2</v>
      </c>
      <c r="D1842">
        <f>LOG10(3.464162)</f>
        <v>0.53959819340909831</v>
      </c>
    </row>
    <row r="1843" spans="1:4">
      <c r="A1843">
        <v>1.030986</v>
      </c>
      <c r="B1843">
        <v>4.3468689999999999</v>
      </c>
      <c r="C1843">
        <f>LOG10(1.030986)</f>
        <v>1.3252767937223452E-2</v>
      </c>
      <c r="D1843">
        <f>LOG10(4.346869)</f>
        <v>0.63817655221421032</v>
      </c>
    </row>
    <row r="1844" spans="1:4">
      <c r="A1844">
        <v>1.0462659999999999</v>
      </c>
      <c r="B1844">
        <v>4.4315199999999999</v>
      </c>
      <c r="C1844">
        <f>LOG10(1.046266)</f>
        <v>1.9642112490997298E-2</v>
      </c>
      <c r="D1844">
        <f>LOG10(4.43152)</f>
        <v>0.64655271366968525</v>
      </c>
    </row>
    <row r="1845" spans="1:4">
      <c r="A1845">
        <v>1.0270269999999999</v>
      </c>
      <c r="B1845">
        <v>3.7822</v>
      </c>
      <c r="C1845">
        <f>LOG10(1.027027)</f>
        <v>1.1581861121012817E-2</v>
      </c>
      <c r="D1845">
        <f>LOG10(3.7822)</f>
        <v>0.57774449029427277</v>
      </c>
    </row>
    <row r="1846" spans="1:4">
      <c r="A1846">
        <v>1.0315879999999999</v>
      </c>
      <c r="B1846">
        <v>4.3437289999999997</v>
      </c>
      <c r="C1846">
        <f>LOG10(1.031588)</f>
        <v>1.3506281542582267E-2</v>
      </c>
      <c r="D1846">
        <f>LOG10(4.343729)</f>
        <v>0.63786272231838104</v>
      </c>
    </row>
    <row r="1847" spans="1:4">
      <c r="A1847">
        <v>1.0287550000000001</v>
      </c>
      <c r="B1847">
        <v>4.4776999999999996</v>
      </c>
      <c r="C1847">
        <f>LOG10(1.028755)</f>
        <v>1.2311959002472162E-2</v>
      </c>
      <c r="D1847">
        <f>LOG10(4.4777)</f>
        <v>0.65105499305966008</v>
      </c>
    </row>
    <row r="1848" spans="1:4">
      <c r="A1848">
        <v>1.0284439999999999</v>
      </c>
      <c r="B1848">
        <v>4.7942489999999998</v>
      </c>
      <c r="C1848">
        <f>LOG10(1.028444)</f>
        <v>1.2180648823047683E-2</v>
      </c>
      <c r="D1848">
        <f>LOG10(4.794249)</f>
        <v>0.68072058633462229</v>
      </c>
    </row>
    <row r="1849" spans="1:4">
      <c r="A1849">
        <v>1.032408</v>
      </c>
      <c r="B1849">
        <v>4.5372579999999996</v>
      </c>
      <c r="C1849">
        <f>LOG10(1.032408)</f>
        <v>1.3851361178295826E-2</v>
      </c>
      <c r="D1849">
        <f>LOG10(4.537258)</f>
        <v>0.65679347505411545</v>
      </c>
    </row>
    <row r="1850" spans="1:4">
      <c r="A1850">
        <v>1.0306409999999999</v>
      </c>
      <c r="B1850">
        <v>4.3948020000000003</v>
      </c>
      <c r="C1850">
        <f>LOG10(1.030641)</f>
        <v>1.3107415167148884E-2</v>
      </c>
      <c r="D1850">
        <f>LOG10(4.394802)</f>
        <v>0.64293931348386169</v>
      </c>
    </row>
    <row r="1851" spans="1:4">
      <c r="A1851">
        <v>1.030616</v>
      </c>
      <c r="B1851">
        <v>4.569566</v>
      </c>
      <c r="C1851">
        <f>LOG10(1.030616)</f>
        <v>1.3096880467159422E-2</v>
      </c>
      <c r="D1851">
        <f>LOG10(4.569566)</f>
        <v>0.65987495439028787</v>
      </c>
    </row>
    <row r="1852" spans="1:4">
      <c r="A1852">
        <v>1.0299119999999999</v>
      </c>
      <c r="B1852">
        <v>4.3257519999999996</v>
      </c>
      <c r="C1852">
        <f>LOG10(1.029912)</f>
        <v>1.2800118348754297E-2</v>
      </c>
      <c r="D1852">
        <f>LOG10(4.325752)</f>
        <v>0.6360616172485013</v>
      </c>
    </row>
    <row r="1853" spans="1:4">
      <c r="A1853">
        <v>1.027266</v>
      </c>
      <c r="B1853">
        <v>4.2227880000000004</v>
      </c>
      <c r="C1853">
        <f>LOG10(1.027266)</f>
        <v>1.1682914263522897E-2</v>
      </c>
      <c r="D1853">
        <f>LOG10(4.222788)</f>
        <v>0.62559927873931276</v>
      </c>
    </row>
    <row r="1854" spans="1:4">
      <c r="A1854">
        <v>1.0296160000000001</v>
      </c>
      <c r="B1854">
        <v>4.2507239999999999</v>
      </c>
      <c r="C1854">
        <f>LOG10(1.029616)</f>
        <v>1.267528278688923E-2</v>
      </c>
      <c r="D1854">
        <f>LOG10(4.250724)</f>
        <v>0.62846290709171604</v>
      </c>
    </row>
    <row r="1855" spans="1:4">
      <c r="A1855">
        <v>1.022351</v>
      </c>
      <c r="B1855">
        <v>4.3685489999999998</v>
      </c>
      <c r="C1855">
        <f>LOG10(1.022351)</f>
        <v>9.6000261238151155E-3</v>
      </c>
      <c r="D1855">
        <f>LOG10(4.368549)</f>
        <v>0.64033721135607025</v>
      </c>
    </row>
    <row r="1856" spans="1:4">
      <c r="A1856">
        <v>1.021104</v>
      </c>
      <c r="B1856">
        <v>4.2997209999999999</v>
      </c>
      <c r="C1856">
        <f>LOG10(1.021104)</f>
        <v>9.0699774697869193E-3</v>
      </c>
      <c r="D1856">
        <f>LOG10(4.299721)</f>
        <v>0.63344027602341402</v>
      </c>
    </row>
    <row r="1857" spans="1:4">
      <c r="A1857">
        <v>1.0250429999999999</v>
      </c>
      <c r="B1857">
        <v>4.2341309999999996</v>
      </c>
      <c r="C1857">
        <f>LOG10(1.025043)</f>
        <v>1.0742084192768543E-2</v>
      </c>
      <c r="D1857">
        <f>LOG10(4.234131)</f>
        <v>0.62676429055089877</v>
      </c>
    </row>
    <row r="1858" spans="1:4">
      <c r="A1858">
        <v>1.021755</v>
      </c>
      <c r="B1858">
        <v>4.3618839999999999</v>
      </c>
      <c r="C1858">
        <f>LOG10(1.021755)</f>
        <v>9.3467716266909251E-3</v>
      </c>
      <c r="D1858">
        <f>LOG10(4.361884)</f>
        <v>0.63967411176313682</v>
      </c>
    </row>
    <row r="1859" spans="1:4">
      <c r="A1859">
        <v>1.0231539999999999</v>
      </c>
      <c r="B1859">
        <v>4.324535</v>
      </c>
      <c r="C1859">
        <f>LOG10(1.023154)</f>
        <v>9.9410064556969008E-3</v>
      </c>
      <c r="D1859">
        <f>LOG10(4.324535)</f>
        <v>0.63593941635783413</v>
      </c>
    </row>
    <row r="1860" spans="1:4">
      <c r="A1860">
        <v>1.0193099999999999</v>
      </c>
      <c r="B1860">
        <v>4.1975740000000004</v>
      </c>
      <c r="C1860">
        <f>LOG10(1.01931)</f>
        <v>8.306284904158346E-3</v>
      </c>
      <c r="D1860">
        <f>LOG10(4.197574)</f>
        <v>0.62299836115514351</v>
      </c>
    </row>
    <row r="1861" spans="1:4">
      <c r="A1861">
        <v>1.0231030000000001</v>
      </c>
      <c r="B1861">
        <v>4.1127320000000003</v>
      </c>
      <c r="C1861">
        <f>LOG10(1.023103)</f>
        <v>9.9193581304068065E-3</v>
      </c>
      <c r="D1861">
        <f>LOG10(4.112732)</f>
        <v>0.61413041028396542</v>
      </c>
    </row>
    <row r="1862" spans="1:4">
      <c r="A1862">
        <v>1.0210319999999999</v>
      </c>
      <c r="B1862">
        <v>4.0839949999999998</v>
      </c>
      <c r="C1862">
        <f>LOG10(1.021032)</f>
        <v>9.0393534538447673E-3</v>
      </c>
      <c r="D1862">
        <f>LOG10(4.083995)</f>
        <v>0.61108520171219416</v>
      </c>
    </row>
    <row r="1863" spans="1:4">
      <c r="A1863">
        <v>1.0218659999999999</v>
      </c>
      <c r="B1863">
        <v>3.9365519999999998</v>
      </c>
      <c r="C1863">
        <f>LOG10(1.021866)</f>
        <v>9.3939493446128439E-3</v>
      </c>
      <c r="D1863">
        <f>LOG10(3.936552)</f>
        <v>0.59511599264172454</v>
      </c>
    </row>
    <row r="1864" spans="1:4">
      <c r="A1864">
        <v>1.03261</v>
      </c>
      <c r="B1864">
        <v>4.1118180000000004</v>
      </c>
      <c r="C1864">
        <f>LOG10(1.03261)</f>
        <v>1.3936326525449492E-2</v>
      </c>
      <c r="D1864">
        <f>LOG10(4.111818)</f>
        <v>0.61403388338386911</v>
      </c>
    </row>
    <row r="1865" spans="1:4">
      <c r="A1865">
        <v>1.022761</v>
      </c>
      <c r="B1865">
        <v>3.9319790000000001</v>
      </c>
      <c r="C1865">
        <f>LOG10(1.022761)</f>
        <v>9.7741591199208035E-3</v>
      </c>
      <c r="D1865">
        <f>LOG10(3.931979)</f>
        <v>0.59461118967676263</v>
      </c>
    </row>
    <row r="1866" spans="1:4">
      <c r="A1866">
        <v>1.0276000000000001</v>
      </c>
      <c r="B1866">
        <v>3.8483179999999999</v>
      </c>
      <c r="C1866">
        <f>LOG10(1.0276)</f>
        <v>1.1824095594308588E-2</v>
      </c>
      <c r="D1866">
        <f>LOG10(3.848318)</f>
        <v>0.5852709521233147</v>
      </c>
    </row>
    <row r="1867" spans="1:4">
      <c r="A1867">
        <v>1.0511280000000001</v>
      </c>
      <c r="B1867">
        <v>3.9004560000000001</v>
      </c>
      <c r="C1867">
        <f>LOG10(1.051128)</f>
        <v>2.1655604999563038E-2</v>
      </c>
      <c r="D1867">
        <f>LOG10(3.900456)</f>
        <v>0.59111538310522427</v>
      </c>
    </row>
    <row r="1868" spans="1:4">
      <c r="A1868">
        <v>1.023836</v>
      </c>
      <c r="B1868">
        <v>3.8351459999999999</v>
      </c>
      <c r="C1868">
        <f>LOG10(1.023836)</f>
        <v>1.0230396093767823E-2</v>
      </c>
      <c r="D1868">
        <f>LOG10(3.835146)</f>
        <v>0.58378190173673994</v>
      </c>
    </row>
    <row r="1869" spans="1:4">
      <c r="A1869">
        <v>1.0196430000000001</v>
      </c>
      <c r="B1869">
        <v>3.9122629999999998</v>
      </c>
      <c r="C1869">
        <f>LOG10(1.019643)</f>
        <v>8.4481420865060181E-3</v>
      </c>
      <c r="D1869">
        <f>LOG10(3.912263)</f>
        <v>0.59242804233475621</v>
      </c>
    </row>
    <row r="1870" spans="1:4">
      <c r="A1870">
        <v>1.02278</v>
      </c>
      <c r="B1870">
        <v>3.6553710000000001</v>
      </c>
      <c r="C1870">
        <f>LOG10(1.02278)</f>
        <v>9.782227005293324E-3</v>
      </c>
      <c r="D1870">
        <f>LOG10(3.655371)</f>
        <v>0.56293146202601296</v>
      </c>
    </row>
    <row r="1871" spans="1:4">
      <c r="A1871">
        <v>1.0191190000000001</v>
      </c>
      <c r="B1871">
        <v>3.764545</v>
      </c>
      <c r="C1871">
        <f>LOG10(1.019119)</f>
        <v>8.2248984577467169E-3</v>
      </c>
      <c r="D1871">
        <f>LOG10(3.764545)</f>
        <v>0.57571249290579174</v>
      </c>
    </row>
    <row r="1872" spans="1:4">
      <c r="A1872">
        <v>1.018996</v>
      </c>
      <c r="B1872">
        <v>3.7806120000000001</v>
      </c>
      <c r="C1872">
        <f>LOG10(1.018996)</f>
        <v>8.1724792161053054E-3</v>
      </c>
      <c r="D1872">
        <f>LOG10(3.780612)</f>
        <v>0.57756210849041512</v>
      </c>
    </row>
    <row r="1873" spans="1:4">
      <c r="A1873">
        <v>1.0288489999999999</v>
      </c>
      <c r="B1873">
        <v>3.6973129999999998</v>
      </c>
      <c r="C1873">
        <f>LOG10(1.028849)</f>
        <v>1.2351639797539848E-2</v>
      </c>
      <c r="D1873">
        <f>LOG10(3.697313)</f>
        <v>0.56788621779486681</v>
      </c>
    </row>
    <row r="1874" spans="1:4">
      <c r="A1874">
        <v>1.020446</v>
      </c>
      <c r="B1874">
        <v>3.8523130000000001</v>
      </c>
      <c r="C1874">
        <f>LOG10(1.020446)</f>
        <v>8.7900276483400073E-3</v>
      </c>
      <c r="D1874">
        <f>LOG10(3.852313)</f>
        <v>0.58572156626411898</v>
      </c>
    </row>
    <row r="1875" spans="1:4">
      <c r="A1875">
        <v>1.0307280000000001</v>
      </c>
      <c r="B1875">
        <v>3.8271929999999998</v>
      </c>
      <c r="C1875">
        <f>LOG10(1.030728)</f>
        <v>1.3144073931249917E-2</v>
      </c>
      <c r="D1875">
        <f>LOG10(3.827193)</f>
        <v>0.58288036364115425</v>
      </c>
    </row>
    <row r="1876" spans="1:4">
      <c r="A1876">
        <v>1.022545</v>
      </c>
      <c r="B1876">
        <v>3.7356739999999999</v>
      </c>
      <c r="C1876">
        <f>LOG10(1.022545)</f>
        <v>9.6824294633903445E-3</v>
      </c>
      <c r="D1876">
        <f>LOG10(3.735674)</f>
        <v>0.57236896975866292</v>
      </c>
    </row>
    <row r="1877" spans="1:4">
      <c r="A1877">
        <v>1.0248360000000001</v>
      </c>
      <c r="B1877">
        <v>3.6365949999999998</v>
      </c>
      <c r="C1877">
        <f>LOG10(1.024836)</f>
        <v>1.0654372715106221E-2</v>
      </c>
      <c r="D1877">
        <f>LOG10(3.636595)</f>
        <v>0.56069493727714315</v>
      </c>
    </row>
    <row r="1878" spans="1:4">
      <c r="A1878">
        <v>1.022392</v>
      </c>
      <c r="B1878">
        <v>3.9712800000000001</v>
      </c>
      <c r="C1878">
        <f>LOG10(1.022392)</f>
        <v>9.6174425656470729E-3</v>
      </c>
      <c r="D1878">
        <f>LOG10(3.97128)</f>
        <v>0.59893050861209918</v>
      </c>
    </row>
    <row r="1879" spans="1:4">
      <c r="A1879">
        <v>1.0351109999999999</v>
      </c>
      <c r="B1879">
        <v>4.1071960000000001</v>
      </c>
      <c r="C1879">
        <f>LOG10(1.035111)</f>
        <v>1.498692380518751E-2</v>
      </c>
      <c r="D1879">
        <f>LOG10(4.107196)</f>
        <v>0.6135454283679862</v>
      </c>
    </row>
    <row r="1880" spans="1:4">
      <c r="A1880">
        <v>1.0207790000000001</v>
      </c>
      <c r="B1880">
        <v>4.0576080000000001</v>
      </c>
      <c r="C1880">
        <f>LOG10(1.020779)</f>
        <v>8.9317269355394142E-3</v>
      </c>
      <c r="D1880">
        <f>LOG10(4.057608)</f>
        <v>0.60827008812361238</v>
      </c>
    </row>
    <row r="1881" spans="1:4">
      <c r="A1881">
        <v>1.021231</v>
      </c>
      <c r="B1881">
        <v>4.1553779999999998</v>
      </c>
      <c r="C1881">
        <f>LOG10(1.021231)</f>
        <v>9.1239895679713998E-3</v>
      </c>
      <c r="D1881">
        <f>LOG10(4.155378)</f>
        <v>0.61861053614594341</v>
      </c>
    </row>
    <row r="1882" spans="1:4">
      <c r="A1882">
        <v>1.031145</v>
      </c>
      <c r="B1882">
        <v>4.4325169999999998</v>
      </c>
      <c r="C1882">
        <f>LOG10(1.031145)</f>
        <v>1.3319740232154733E-2</v>
      </c>
      <c r="D1882">
        <f>LOG10(4.432517)</f>
        <v>0.64665040992259648</v>
      </c>
    </row>
    <row r="1883" spans="1:4">
      <c r="A1883">
        <v>1.028805</v>
      </c>
      <c r="B1883">
        <v>4.4337239999999998</v>
      </c>
      <c r="C1883">
        <f>LOG10(1.028805)</f>
        <v>1.2333066259708291E-2</v>
      </c>
      <c r="D1883">
        <f>LOG10(4.433724)</f>
        <v>0.64676865472169354</v>
      </c>
    </row>
    <row r="1884" spans="1:4">
      <c r="A1884">
        <v>1.02369</v>
      </c>
      <c r="B1884">
        <v>4.3837330000000003</v>
      </c>
      <c r="C1884">
        <f>LOG10(1.02369)</f>
        <v>1.0168460866117154E-2</v>
      </c>
      <c r="D1884">
        <f>LOG10(4.383733)</f>
        <v>0.64184409471037274</v>
      </c>
    </row>
    <row r="1885" spans="1:4">
      <c r="A1885">
        <v>1.034565</v>
      </c>
      <c r="B1885">
        <v>4.3774280000000001</v>
      </c>
      <c r="C1885">
        <f>LOG10(1.034565)</f>
        <v>1.4757781859665526E-2</v>
      </c>
      <c r="D1885">
        <f>LOG10(4.377428)</f>
        <v>0.64121901153221617</v>
      </c>
    </row>
    <row r="1886" spans="1:4">
      <c r="A1886">
        <v>1.0188680000000001</v>
      </c>
      <c r="B1886">
        <v>4.6881550000000001</v>
      </c>
      <c r="C1886">
        <f>LOG10(1.018868)</f>
        <v>8.1179223921399382E-3</v>
      </c>
      <c r="D1886">
        <f>LOG10(4.688155)</f>
        <v>0.6710019619118871</v>
      </c>
    </row>
    <row r="1887" spans="1:4">
      <c r="A1887">
        <v>1.0258929999999999</v>
      </c>
      <c r="B1887">
        <v>4.5441320000000003</v>
      </c>
      <c r="C1887">
        <f>LOG10(1.025893)</f>
        <v>1.1102066494267395E-2</v>
      </c>
      <c r="D1887">
        <f>LOG10(4.544132)</f>
        <v>0.65745093846858194</v>
      </c>
    </row>
    <row r="1888" spans="1:4">
      <c r="A1888">
        <v>1.0213319999999999</v>
      </c>
      <c r="B1888">
        <v>4.2138119999999999</v>
      </c>
      <c r="C1888">
        <f>LOG10(1.021332)</f>
        <v>9.1669392764581765E-3</v>
      </c>
      <c r="D1888">
        <f>LOG10(4.213812)</f>
        <v>0.62467515557584818</v>
      </c>
    </row>
    <row r="1889" spans="1:4">
      <c r="A1889">
        <v>1.0295939999999999</v>
      </c>
      <c r="B1889">
        <v>4.2321249999999999</v>
      </c>
      <c r="C1889">
        <f>LOG10(1.029594)</f>
        <v>1.2666003035331771E-2</v>
      </c>
      <c r="D1889">
        <f>LOG10(4.232125)</f>
        <v>0.62655848653386914</v>
      </c>
    </row>
    <row r="1890" spans="1:4">
      <c r="A1890">
        <v>1.027118</v>
      </c>
      <c r="B1890">
        <v>4.2817670000000003</v>
      </c>
      <c r="C1890">
        <f>LOG10(1.027118)</f>
        <v>1.1620340194183482E-2</v>
      </c>
      <c r="D1890">
        <f>LOG10(4.281767)</f>
        <v>0.63162303069137904</v>
      </c>
    </row>
    <row r="1891" spans="1:4">
      <c r="A1891">
        <v>1.1525669999999999</v>
      </c>
      <c r="B1891">
        <v>4.3324470000000002</v>
      </c>
      <c r="C1891">
        <f>LOG10(1.152567)</f>
        <v>6.1666180816158114E-2</v>
      </c>
      <c r="D1891">
        <f>LOG10(4.332447)</f>
        <v>0.63673325857618412</v>
      </c>
    </row>
    <row r="1892" spans="1:4">
      <c r="A1892">
        <v>1.1371169999999999</v>
      </c>
      <c r="B1892">
        <v>3.9924339999999998</v>
      </c>
      <c r="C1892">
        <f>LOG10(1.137117)</f>
        <v>5.5805152322036346E-2</v>
      </c>
      <c r="D1892">
        <f>LOG10(3.992434)</f>
        <v>0.6012377454310025</v>
      </c>
    </row>
    <row r="1893" spans="1:4">
      <c r="A1893">
        <v>1.214637</v>
      </c>
      <c r="B1893">
        <v>4.685136</v>
      </c>
      <c r="C1893">
        <f>LOG10(1.214637)</f>
        <v>8.4446506369192736E-2</v>
      </c>
      <c r="D1893">
        <f>LOG10(4.685136)</f>
        <v>0.67072220209514732</v>
      </c>
    </row>
    <row r="1894" spans="1:4">
      <c r="A1894">
        <v>1.1600379999999999</v>
      </c>
      <c r="B1894">
        <v>4.1535650000000004</v>
      </c>
      <c r="C1894">
        <f>LOG10(1.160038)</f>
        <v>6.4472215882097186E-2</v>
      </c>
      <c r="D1894">
        <f>LOG10(4.153565)</f>
        <v>0.61842101121884108</v>
      </c>
    </row>
    <row r="1895" spans="1:4">
      <c r="A1895">
        <v>1.0954660000000001</v>
      </c>
      <c r="B1895">
        <v>4.1861940000000004</v>
      </c>
      <c r="C1895">
        <f>LOG10(1.095466)</f>
        <v>3.9598902899436281E-2</v>
      </c>
      <c r="D1895">
        <f>LOG10(4.186194)</f>
        <v>0.62181935089640772</v>
      </c>
    </row>
    <row r="1896" spans="1:4">
      <c r="A1896">
        <v>1.134787</v>
      </c>
      <c r="B1896">
        <v>4.1632410000000002</v>
      </c>
      <c r="C1896">
        <f>LOG10(1.134787)</f>
        <v>5.4914351920603864E-2</v>
      </c>
      <c r="D1896">
        <f>LOG10(4.163241)</f>
        <v>0.61943155187661136</v>
      </c>
    </row>
    <row r="1897" spans="1:4">
      <c r="A1897">
        <v>1.1063419999999999</v>
      </c>
      <c r="B1897">
        <v>4.208691</v>
      </c>
      <c r="C1897">
        <f>LOG10(1.106342)</f>
        <v>4.3889399801717049E-2</v>
      </c>
      <c r="D1897">
        <f>LOG10(4.208691)</f>
        <v>0.62414704123361853</v>
      </c>
    </row>
    <row r="1898" spans="1:4">
      <c r="A1898">
        <v>1.1168290000000001</v>
      </c>
      <c r="B1898">
        <v>4.2437180000000003</v>
      </c>
      <c r="C1898">
        <f>LOG10(1.116829)</f>
        <v>4.7986682478635065E-2</v>
      </c>
      <c r="D1898">
        <f>LOG10(4.243718)</f>
        <v>0.62774651681436944</v>
      </c>
    </row>
    <row r="1899" spans="1:4">
      <c r="A1899">
        <v>1.1286769999999999</v>
      </c>
      <c r="B1899">
        <v>4.2005340000000002</v>
      </c>
      <c r="C1899">
        <f>LOG10(1.128677)</f>
        <v>5.2569675151100864E-2</v>
      </c>
      <c r="D1899">
        <f>LOG10(4.200534)</f>
        <v>0.62330450432921691</v>
      </c>
    </row>
    <row r="1900" spans="1:4">
      <c r="A1900">
        <v>1.132557</v>
      </c>
      <c r="B1900">
        <v>4.0638500000000004</v>
      </c>
      <c r="C1900">
        <f>LOG10(1.132557)</f>
        <v>5.4060068665020736E-2</v>
      </c>
      <c r="D1900">
        <f>LOG10(4.06385)</f>
        <v>0.60893766941008221</v>
      </c>
    </row>
    <row r="1901" spans="1:4">
      <c r="A1901">
        <v>1.084446</v>
      </c>
      <c r="B1901">
        <v>4.1117359999999996</v>
      </c>
      <c r="C1901">
        <f>LOG10(1.084446)</f>
        <v>3.5207931190316323E-2</v>
      </c>
      <c r="D1901">
        <f>LOG10(4.111736)</f>
        <v>0.61402522237245782</v>
      </c>
    </row>
    <row r="1902" spans="1:4">
      <c r="A1902">
        <v>1.1233219999999999</v>
      </c>
      <c r="B1902">
        <v>4.0957400000000002</v>
      </c>
      <c r="C1902">
        <f>LOG10(1.123322)</f>
        <v>5.0504264523524078E-2</v>
      </c>
      <c r="D1902">
        <f>LOG10(4.09574)</f>
        <v>0.61233237957196762</v>
      </c>
    </row>
    <row r="1903" spans="1:4">
      <c r="A1903">
        <v>1.1350979999999999</v>
      </c>
      <c r="B1903">
        <v>4.0714350000000001</v>
      </c>
      <c r="C1903">
        <f>LOG10(1.135098)</f>
        <v>5.503335846473896E-2</v>
      </c>
      <c r="D1903">
        <f>LOG10(4.071435)</f>
        <v>0.60974750572184133</v>
      </c>
    </row>
    <row r="1904" spans="1:4">
      <c r="A1904">
        <v>1.120887</v>
      </c>
      <c r="B1904">
        <v>3.7895490000000001</v>
      </c>
      <c r="C1904">
        <f>LOG10(1.120887)</f>
        <v>4.956183226483462E-2</v>
      </c>
      <c r="D1904">
        <f>LOG10(3.789549)</f>
        <v>0.57858752699549187</v>
      </c>
    </row>
    <row r="1905" spans="1:4">
      <c r="A1905">
        <v>1.097842</v>
      </c>
      <c r="B1905">
        <v>3.8389669999999998</v>
      </c>
      <c r="C1905">
        <f>LOG10(1.097842)</f>
        <v>4.0539841511478616E-2</v>
      </c>
      <c r="D1905">
        <f>LOG10(3.838967)</f>
        <v>0.58421437891097072</v>
      </c>
    </row>
    <row r="1906" spans="1:4">
      <c r="A1906">
        <v>1.0966089999999999</v>
      </c>
      <c r="B1906">
        <v>3.7702810000000002</v>
      </c>
      <c r="C1906">
        <f>LOG10(1.096609)</f>
        <v>4.0051805868360962E-2</v>
      </c>
      <c r="D1906">
        <f>LOG10(3.770281)</f>
        <v>0.57637371949003346</v>
      </c>
    </row>
    <row r="1907" spans="1:4">
      <c r="A1907">
        <v>1.0688880000000001</v>
      </c>
      <c r="B1907">
        <v>4.0278280000000004</v>
      </c>
      <c r="C1907">
        <f>LOG10(1.068888)</f>
        <v>2.8932201438685631E-2</v>
      </c>
      <c r="D1907">
        <f>LOG10(4.027828)</f>
        <v>0.60507091663684609</v>
      </c>
    </row>
    <row r="1908" spans="1:4">
      <c r="A1908">
        <v>1.1184069999999999</v>
      </c>
      <c r="B1908">
        <v>3.8243849999999999</v>
      </c>
      <c r="C1908">
        <f>LOG10(1.118407)</f>
        <v>4.859987661678819E-2</v>
      </c>
      <c r="D1908">
        <f>LOG10(3.824385)</f>
        <v>0.58256160613520436</v>
      </c>
    </row>
    <row r="1909" spans="1:4">
      <c r="A1909">
        <v>1.099275</v>
      </c>
      <c r="B1909">
        <v>3.733949</v>
      </c>
      <c r="C1909">
        <f>LOG10(1.099275)</f>
        <v>4.1106351242925269E-2</v>
      </c>
      <c r="D1909">
        <f>LOG10(3.733949)</f>
        <v>0.57216838185895202</v>
      </c>
    </row>
    <row r="1910" spans="1:4">
      <c r="A1910">
        <v>1.1028</v>
      </c>
      <c r="B1910">
        <v>3.6197330000000001</v>
      </c>
      <c r="C1910">
        <f>LOG10(1.1028)</f>
        <v>4.2496757433736092E-2</v>
      </c>
      <c r="D1910">
        <f>LOG10(3.619733)</f>
        <v>0.55867653713449739</v>
      </c>
    </row>
    <row r="1911" spans="1:4">
      <c r="A1911">
        <v>1.1010409999999999</v>
      </c>
      <c r="B1911">
        <v>3.8891300000000002</v>
      </c>
      <c r="C1911">
        <f>LOG10(1.101041)</f>
        <v>4.1803491308016236E-2</v>
      </c>
      <c r="D1911">
        <f>LOG10(3.88913)</f>
        <v>0.58985246033414929</v>
      </c>
    </row>
    <row r="1912" spans="1:4">
      <c r="A1912">
        <v>1.087502</v>
      </c>
      <c r="B1912">
        <v>4.1895150000000001</v>
      </c>
      <c r="C1912">
        <f>LOG10(1.087502)</f>
        <v>3.6430064328435943E-2</v>
      </c>
      <c r="D1912">
        <f>LOG10(4.189515)</f>
        <v>0.62216374969297139</v>
      </c>
    </row>
    <row r="1913" spans="1:4">
      <c r="A1913">
        <v>1.087375</v>
      </c>
      <c r="B1913">
        <v>4.3353010000000003</v>
      </c>
      <c r="C1913">
        <f>LOG10(1.087375)</f>
        <v>3.6379343851586539E-2</v>
      </c>
      <c r="D1913">
        <f>LOG10(4.335301)</f>
        <v>0.63701925593008624</v>
      </c>
    </row>
    <row r="1914" spans="1:4">
      <c r="A1914">
        <v>1.107135</v>
      </c>
      <c r="B1914">
        <v>4.347855</v>
      </c>
      <c r="C1914">
        <f>LOG10(1.107135)</f>
        <v>4.420058039124538E-2</v>
      </c>
      <c r="D1914">
        <f>LOG10(4.347855)</f>
        <v>0.63827505203110901</v>
      </c>
    </row>
    <row r="1915" spans="1:4">
      <c r="A1915">
        <v>1.1183449999999999</v>
      </c>
      <c r="B1915">
        <v>3.9915729999999998</v>
      </c>
      <c r="C1915">
        <f>LOG10(1.118345)</f>
        <v>4.8575800404597566E-2</v>
      </c>
      <c r="D1915">
        <f>LOG10(3.991573)</f>
        <v>0.60114407628708311</v>
      </c>
    </row>
    <row r="1916" spans="1:4">
      <c r="A1916">
        <v>1.152045</v>
      </c>
      <c r="B1916">
        <v>3.6762000000000001</v>
      </c>
      <c r="C1916">
        <f>LOG10(1.152045)</f>
        <v>6.1469443384060816E-2</v>
      </c>
      <c r="D1916">
        <f>LOG10(3.6762)</f>
        <v>0.56539913071559755</v>
      </c>
    </row>
    <row r="1917" spans="1:4">
      <c r="A1917">
        <v>1.1152</v>
      </c>
      <c r="B1917">
        <v>3.6915490000000002</v>
      </c>
      <c r="C1917">
        <f>LOG10(1.1152)</f>
        <v>4.7352760753934194E-2</v>
      </c>
      <c r="D1917">
        <f>LOG10(3.691549)</f>
        <v>0.56720863743094185</v>
      </c>
    </row>
    <row r="1918" spans="1:4">
      <c r="A1918">
        <v>1.1091</v>
      </c>
      <c r="B1918">
        <v>3.6801970000000002</v>
      </c>
      <c r="C1918">
        <f>LOG10(1.1091)</f>
        <v>4.4970705292769225E-2</v>
      </c>
      <c r="D1918">
        <f>LOG10(3.680197)</f>
        <v>0.56587106696781075</v>
      </c>
    </row>
    <row r="1919" spans="1:4">
      <c r="A1919">
        <v>1.115297</v>
      </c>
      <c r="B1919">
        <v>3.623237</v>
      </c>
      <c r="C1919">
        <f>LOG10(1.115297)</f>
        <v>4.7390534007851301E-2</v>
      </c>
      <c r="D1919">
        <f>LOG10(3.623237)</f>
        <v>0.55909674265331311</v>
      </c>
    </row>
    <row r="1920" spans="1:4">
      <c r="A1920">
        <v>1.123669</v>
      </c>
      <c r="B1920">
        <v>3.5252080000000001</v>
      </c>
      <c r="C1920">
        <f>LOG10(1.123669)</f>
        <v>5.0638399628131485E-2</v>
      </c>
      <c r="D1920">
        <f>LOG10(3.525208)</f>
        <v>0.54718474702591102</v>
      </c>
    </row>
    <row r="1921" spans="1:4">
      <c r="A1921">
        <v>1.120663</v>
      </c>
      <c r="B1921">
        <v>3.5016349999999998</v>
      </c>
      <c r="C1921">
        <f>LOG10(1.120663)</f>
        <v>4.9475033429858685E-2</v>
      </c>
      <c r="D1921">
        <f>LOG10(3.501635)</f>
        <v>0.5442708745437429</v>
      </c>
    </row>
    <row r="1922" spans="1:4">
      <c r="A1922">
        <v>1.1147039999999999</v>
      </c>
      <c r="B1922">
        <v>3.4350339999999999</v>
      </c>
      <c r="C1922">
        <f>LOG10(1.114704)</f>
        <v>4.7159559551930387E-2</v>
      </c>
      <c r="D1922">
        <f>LOG10(3.435034)</f>
        <v>0.53593104006785663</v>
      </c>
    </row>
    <row r="1923" spans="1:4">
      <c r="A1923">
        <v>1.08023</v>
      </c>
      <c r="B1923">
        <v>3.5420020000000001</v>
      </c>
      <c r="C1923">
        <f>LOG10(1.08023)</f>
        <v>3.351623427968492E-2</v>
      </c>
      <c r="D1923">
        <f>LOG10(3.542002)</f>
        <v>0.54924880207955529</v>
      </c>
    </row>
    <row r="1924" spans="1:4">
      <c r="A1924">
        <v>1.107345</v>
      </c>
      <c r="B1924">
        <v>3.4695309999999999</v>
      </c>
      <c r="C1924">
        <f>LOG10(1.107345)</f>
        <v>4.4282949020876795E-2</v>
      </c>
      <c r="D1924">
        <f>LOG10(3.469531)</f>
        <v>0.54027077223235132</v>
      </c>
    </row>
    <row r="1925" spans="1:4">
      <c r="A1925">
        <v>1.1098619999999999</v>
      </c>
      <c r="B1925">
        <v>3.5858370000000002</v>
      </c>
      <c r="C1925">
        <f>LOG10(1.109862)</f>
        <v>4.5268982062014282E-2</v>
      </c>
      <c r="D1925">
        <f>LOG10(3.585837)</f>
        <v>0.55459054411923081</v>
      </c>
    </row>
    <row r="1926" spans="1:4">
      <c r="A1926">
        <v>1.111826</v>
      </c>
      <c r="B1926">
        <v>3.5429550000000001</v>
      </c>
      <c r="C1926">
        <f>LOG10(1.111826)</f>
        <v>4.6036825777825433E-2</v>
      </c>
      <c r="D1926">
        <f>LOG10(3.542955)</f>
        <v>0.5493656362801721</v>
      </c>
    </row>
    <row r="1927" spans="1:4">
      <c r="A1927">
        <v>1.139977</v>
      </c>
      <c r="B1927">
        <v>3.6531660000000001</v>
      </c>
      <c r="C1927">
        <f>LOG10(1.139977)</f>
        <v>5.6896089166429555E-2</v>
      </c>
      <c r="D1927">
        <f>LOG10(3.653166)</f>
        <v>0.56266940701783497</v>
      </c>
    </row>
    <row r="1928" spans="1:4">
      <c r="A1928">
        <v>1.0997440000000001</v>
      </c>
      <c r="B1928">
        <v>3.667675</v>
      </c>
      <c r="C1928">
        <f>LOG10(1.099744)</f>
        <v>4.1291601224940862E-2</v>
      </c>
      <c r="D1928">
        <f>LOG10(3.667675)</f>
        <v>0.56439084500233594</v>
      </c>
    </row>
    <row r="1929" spans="1:4">
      <c r="A1929">
        <v>1.0763929999999999</v>
      </c>
      <c r="B1929">
        <v>3.5374590000000001</v>
      </c>
      <c r="C1929">
        <f>LOG10(1.076393)</f>
        <v>3.1970864796605061E-2</v>
      </c>
      <c r="D1929">
        <f>LOG10(3.537459)</f>
        <v>0.54869141498409335</v>
      </c>
    </row>
    <row r="1930" spans="1:4">
      <c r="A1930">
        <v>1.051493</v>
      </c>
      <c r="B1930">
        <v>3.4696250000000002</v>
      </c>
      <c r="C1930">
        <f>LOG10(1.051493)</f>
        <v>2.1806385846407948E-2</v>
      </c>
      <c r="D1930">
        <f>LOG10(3.469625)</f>
        <v>0.54028253841293628</v>
      </c>
    </row>
    <row r="1931" spans="1:4">
      <c r="A1931">
        <v>1.0665610000000001</v>
      </c>
      <c r="B1931">
        <v>3.5178509999999998</v>
      </c>
      <c r="C1931">
        <f>LOG10(1.066561)</f>
        <v>2.7985699172041141E-2</v>
      </c>
      <c r="D1931">
        <f>LOG10(3.517851)</f>
        <v>0.54627744079279239</v>
      </c>
    </row>
    <row r="1932" spans="1:4">
      <c r="A1932">
        <v>1.0616380000000001</v>
      </c>
      <c r="B1932">
        <v>3.351718</v>
      </c>
      <c r="C1932">
        <f>LOG10(1.061638)</f>
        <v>2.5976455160592871E-2</v>
      </c>
      <c r="D1932">
        <f>LOG10(3.351718)</f>
        <v>0.52526747171365018</v>
      </c>
    </row>
    <row r="1933" spans="1:4">
      <c r="A1933">
        <v>1.088471</v>
      </c>
      <c r="B1933">
        <v>3.5193560000000002</v>
      </c>
      <c r="C1933">
        <f>LOG10(1.088471)</f>
        <v>3.6816862676377161E-2</v>
      </c>
      <c r="D1933">
        <f>LOG10(3.519356)</f>
        <v>0.54646320005928251</v>
      </c>
    </row>
    <row r="1934" spans="1:4">
      <c r="A1934">
        <v>1.0979540000000001</v>
      </c>
      <c r="B1934">
        <v>3.6055440000000001</v>
      </c>
      <c r="C1934">
        <f>LOG10(1.097954)</f>
        <v>4.0584145246447982E-2</v>
      </c>
      <c r="D1934">
        <f>LOG10(3.605544)</f>
        <v>0.55697079981113107</v>
      </c>
    </row>
    <row r="1935" spans="1:4">
      <c r="A1935">
        <v>1.1222380000000001</v>
      </c>
      <c r="B1935">
        <v>3.6327150000000001</v>
      </c>
      <c r="C1935">
        <f>LOG10(1.122238)</f>
        <v>5.0084970222814149E-2</v>
      </c>
      <c r="D1935">
        <f>LOG10(3.632715)</f>
        <v>0.56023132718215374</v>
      </c>
    </row>
    <row r="1936" spans="1:4">
      <c r="A1936">
        <v>1.0947849999999999</v>
      </c>
      <c r="B1936">
        <v>3.6129570000000002</v>
      </c>
      <c r="C1936">
        <f>LOG10(1.094785)</f>
        <v>3.9328838371026797E-2</v>
      </c>
      <c r="D1936">
        <f>LOG10(3.612957)</f>
        <v>0.55786279279585216</v>
      </c>
    </row>
    <row r="1937" spans="1:4">
      <c r="A1937">
        <v>1.09276</v>
      </c>
      <c r="B1937">
        <v>3.5215480000000001</v>
      </c>
      <c r="C1937">
        <f>LOG10(1.09276)</f>
        <v>3.8524789469580836E-2</v>
      </c>
      <c r="D1937">
        <f>LOG10(3.521548)</f>
        <v>0.54673361236289797</v>
      </c>
    </row>
    <row r="1938" spans="1:4">
      <c r="A1938">
        <v>1.105723</v>
      </c>
      <c r="B1938">
        <v>3.765441</v>
      </c>
      <c r="C1938">
        <f>LOG10(1.105723)</f>
        <v>4.3646343389437223E-2</v>
      </c>
      <c r="D1938">
        <f>LOG10(3.765441)</f>
        <v>0.57581584711059952</v>
      </c>
    </row>
    <row r="1939" spans="1:4">
      <c r="A1939">
        <v>1.1486879999999999</v>
      </c>
      <c r="B1939">
        <v>2.5354839999999998</v>
      </c>
      <c r="C1939">
        <f>LOG10(1.148688)</f>
        <v>6.020208414647911E-2</v>
      </c>
      <c r="D1939">
        <f>LOG10(2.535484)</f>
        <v>0.40406087430663495</v>
      </c>
    </row>
    <row r="1940" spans="1:4">
      <c r="A1940">
        <v>1.0258510000000001</v>
      </c>
      <c r="B1940">
        <v>4.7905069999999998</v>
      </c>
      <c r="C1940">
        <f>LOG10(1.025851)</f>
        <v>1.1084286139366949E-2</v>
      </c>
      <c r="D1940">
        <f>LOG10(4.790507)</f>
        <v>0.68038147910354618</v>
      </c>
    </row>
    <row r="1941" spans="1:4">
      <c r="A1941">
        <v>1.030157</v>
      </c>
      <c r="B1941">
        <v>4.2776069999999997</v>
      </c>
      <c r="C1941">
        <f>LOG10(1.030157)</f>
        <v>1.290341794558136E-2</v>
      </c>
      <c r="D1941">
        <f>LOG10(4.277607)</f>
        <v>0.63120088178493561</v>
      </c>
    </row>
    <row r="1942" spans="1:4">
      <c r="A1942">
        <v>1.0283199999999999</v>
      </c>
      <c r="B1942">
        <v>4.2734870000000003</v>
      </c>
      <c r="C1942">
        <f>LOG10(1.02832)</f>
        <v>1.2128282566324738E-2</v>
      </c>
      <c r="D1942">
        <f>LOG10(4.273487)</f>
        <v>0.6307823871680136</v>
      </c>
    </row>
    <row r="1943" spans="1:4">
      <c r="A1943">
        <v>1.0292129999999999</v>
      </c>
      <c r="B1943">
        <v>4.3218069999999997</v>
      </c>
      <c r="C1943">
        <f>LOG10(1.029213)</f>
        <v>1.2505263151025944E-2</v>
      </c>
      <c r="D1943">
        <f>LOG10(4.321807)</f>
        <v>0.63566536858458056</v>
      </c>
    </row>
    <row r="1944" spans="1:4">
      <c r="A1944">
        <v>1.0214829999999999</v>
      </c>
      <c r="B1944">
        <v>4.5495599999999996</v>
      </c>
      <c r="C1944">
        <f>LOG10(1.021483)</f>
        <v>9.2311432958009278E-3</v>
      </c>
      <c r="D1944">
        <f>LOG10(4.54956)</f>
        <v>0.6579693969181829</v>
      </c>
    </row>
    <row r="1945" spans="1:4">
      <c r="A1945">
        <v>1.0232000000000001</v>
      </c>
      <c r="B1945">
        <v>4.5651279999999996</v>
      </c>
      <c r="C1945">
        <f>LOG10(1.0232)</f>
        <v>9.9605314705975539E-3</v>
      </c>
      <c r="D1945">
        <f>LOG10(4.565128)</f>
        <v>0.6594529590695174</v>
      </c>
    </row>
    <row r="1946" spans="1:4">
      <c r="A1946">
        <v>1.0237339999999999</v>
      </c>
      <c r="B1946">
        <v>4.5397679999999996</v>
      </c>
      <c r="C1946">
        <f>LOG10(1.023734)</f>
        <v>1.0187127207047666E-2</v>
      </c>
      <c r="D1946">
        <f>LOG10(4.539768)</f>
        <v>0.65703365926805546</v>
      </c>
    </row>
    <row r="1947" spans="1:4">
      <c r="A1947">
        <v>1.0255970000000001</v>
      </c>
      <c r="B1947">
        <v>4.5705559999999998</v>
      </c>
      <c r="C1947">
        <f>LOG10(1.025597)</f>
        <v>1.0976741810710205E-2</v>
      </c>
      <c r="D1947">
        <f>LOG10(4.570556)</f>
        <v>0.65996903443402588</v>
      </c>
    </row>
    <row r="1948" spans="1:4">
      <c r="A1948">
        <v>1.0284</v>
      </c>
      <c r="B1948">
        <v>4.5078699999999996</v>
      </c>
      <c r="C1948">
        <f>LOG10(1.0284)</f>
        <v>1.2162067970822983E-2</v>
      </c>
      <c r="D1948">
        <f>LOG10(4.50787)</f>
        <v>0.65397138317337578</v>
      </c>
    </row>
    <row r="1949" spans="1:4">
      <c r="A1949">
        <v>1.032117</v>
      </c>
      <c r="B1949">
        <v>4.3415660000000003</v>
      </c>
      <c r="C1949">
        <f>LOG10(1.032117)</f>
        <v>1.3728931374761532E-2</v>
      </c>
      <c r="D1949">
        <f>LOG10(4.341566)</f>
        <v>0.63764640750494594</v>
      </c>
    </row>
    <row r="1950" spans="1:4">
      <c r="A1950">
        <v>1.0171570000000001</v>
      </c>
      <c r="B1950">
        <v>4.361173</v>
      </c>
      <c r="C1950">
        <f>LOG10(1.017157)</f>
        <v>7.38799222580158E-3</v>
      </c>
      <c r="D1950">
        <f>LOG10(4.361173)</f>
        <v>0.63960331470716969</v>
      </c>
    </row>
    <row r="1951" spans="1:4">
      <c r="A1951">
        <v>1.0260130000000001</v>
      </c>
      <c r="B1951">
        <v>4.2922459999999996</v>
      </c>
      <c r="C1951">
        <f>LOG10(1.026013)</f>
        <v>1.1152863497529588E-2</v>
      </c>
      <c r="D1951">
        <f>LOG10(4.292246)</f>
        <v>0.63268460457558862</v>
      </c>
    </row>
    <row r="1952" spans="1:4">
      <c r="A1952">
        <v>1.0243660000000001</v>
      </c>
      <c r="B1952">
        <v>4.4127479999999997</v>
      </c>
      <c r="C1952">
        <f>LOG10(1.024366)</f>
        <v>1.0455155253798138E-2</v>
      </c>
      <c r="D1952">
        <f>LOG10(4.412748)</f>
        <v>0.64470912678225867</v>
      </c>
    </row>
    <row r="1953" spans="1:4">
      <c r="A1953">
        <v>1.022068</v>
      </c>
      <c r="B1953">
        <v>4.1979519999999999</v>
      </c>
      <c r="C1953">
        <f>LOG10(1.022068)</f>
        <v>9.4797911434479232E-3</v>
      </c>
      <c r="D1953">
        <f>LOG10(4.197952)</f>
        <v>0.62303746848785146</v>
      </c>
    </row>
    <row r="1954" spans="1:4">
      <c r="A1954">
        <v>1.015738</v>
      </c>
      <c r="B1954">
        <v>4.2390140000000001</v>
      </c>
      <c r="C1954">
        <f>LOG10(1.015738)</f>
        <v>6.7817002432757865E-3</v>
      </c>
      <c r="D1954">
        <f>LOG10(4.239014)</f>
        <v>0.62726485089535156</v>
      </c>
    </row>
    <row r="1955" spans="1:4">
      <c r="A1955">
        <v>1.02129</v>
      </c>
      <c r="B1955">
        <v>4.0002380000000004</v>
      </c>
      <c r="C1955">
        <f>LOG10(1.02129)</f>
        <v>9.1490795175380689E-3</v>
      </c>
      <c r="D1955">
        <f>LOG10(4.000238)</f>
        <v>0.60208583108091063</v>
      </c>
    </row>
    <row r="1956" spans="1:4">
      <c r="A1956">
        <v>1.014688</v>
      </c>
      <c r="B1956">
        <v>4.2168049999999999</v>
      </c>
      <c r="C1956">
        <f>LOG10(1.014688)</f>
        <v>6.3325243100991521E-3</v>
      </c>
      <c r="D1956">
        <f>LOG10(4.216805)</f>
        <v>0.62498351816400644</v>
      </c>
    </row>
    <row r="1957" spans="1:4">
      <c r="A1957">
        <v>1.0227299999999999</v>
      </c>
      <c r="B1957">
        <v>4.0196709999999998</v>
      </c>
      <c r="C1957">
        <f>LOG10(1.02273)</f>
        <v>9.7609954062304657E-3</v>
      </c>
      <c r="D1957">
        <f>LOG10(4.019671)</f>
        <v>0.60419050862385071</v>
      </c>
    </row>
    <row r="1958" spans="1:4">
      <c r="A1958">
        <v>1.019082</v>
      </c>
      <c r="B1958">
        <v>4.0115290000000003</v>
      </c>
      <c r="C1958">
        <f>LOG10(1.019082)</f>
        <v>8.2091307333346363E-3</v>
      </c>
      <c r="D1958">
        <f>LOG10(4.011529)</f>
        <v>0.60330993613578443</v>
      </c>
    </row>
    <row r="1959" spans="1:4">
      <c r="A1959">
        <v>1.4566380000000001</v>
      </c>
      <c r="B1959">
        <v>3.8641000000000001</v>
      </c>
      <c r="C1959">
        <f>LOG10(1.456638)</f>
        <v>0.16335163541026537</v>
      </c>
      <c r="D1959">
        <f>LOG10(3.8641)</f>
        <v>0.58704835710324477</v>
      </c>
    </row>
    <row r="1960" spans="1:4">
      <c r="A1960">
        <v>1.018778</v>
      </c>
      <c r="B1960">
        <v>4.1445949999999998</v>
      </c>
      <c r="C1960">
        <f>LOG10(1.018778)</f>
        <v>8.0795580212955683E-3</v>
      </c>
      <c r="D1960">
        <f>LOG10(4.144595)</f>
        <v>0.61748209873221949</v>
      </c>
    </row>
    <row r="1961" spans="1:4">
      <c r="A1961">
        <v>1.027917</v>
      </c>
      <c r="B1961">
        <v>4.3686189999999998</v>
      </c>
      <c r="C1961">
        <f>LOG10(1.027917)</f>
        <v>1.1958048611340045E-2</v>
      </c>
      <c r="D1961">
        <f>LOG10(4.368619)</f>
        <v>0.64034417027313217</v>
      </c>
    </row>
    <row r="1962" spans="1:4">
      <c r="A1962">
        <v>1.0180480000000001</v>
      </c>
      <c r="B1962">
        <v>4.6946859999999999</v>
      </c>
      <c r="C1962">
        <f>LOG10(1.018048)</f>
        <v>7.7682550574058413E-3</v>
      </c>
      <c r="D1962">
        <f>LOG10(4.694686)</f>
        <v>0.67160655016386361</v>
      </c>
    </row>
    <row r="1963" spans="1:4">
      <c r="A1963">
        <v>1.031598</v>
      </c>
      <c r="B1963">
        <v>4.4111690000000001</v>
      </c>
      <c r="C1963">
        <f>LOG10(1.031598)</f>
        <v>1.3510491482761287E-2</v>
      </c>
      <c r="D1963">
        <f>LOG10(4.411169)</f>
        <v>0.64455369671775453</v>
      </c>
    </row>
    <row r="1964" spans="1:4">
      <c r="A1964">
        <v>1.0201709999999999</v>
      </c>
      <c r="B1964">
        <v>3.9948160000000001</v>
      </c>
      <c r="C1964">
        <f>LOG10(1.020171)</f>
        <v>8.6729738521142529E-3</v>
      </c>
      <c r="D1964">
        <f>LOG10(3.994816)</f>
        <v>0.60149678064000744</v>
      </c>
    </row>
    <row r="1965" spans="1:4">
      <c r="A1965">
        <v>1.021401</v>
      </c>
      <c r="B1965">
        <v>3.6324480000000001</v>
      </c>
      <c r="C1965">
        <f>LOG10(1.021401)</f>
        <v>9.1962787146155495E-3</v>
      </c>
      <c r="D1965">
        <f>LOG10(3.632448)</f>
        <v>0.56019940590888839</v>
      </c>
    </row>
    <row r="1966" spans="1:4">
      <c r="A1966">
        <v>1.019714</v>
      </c>
      <c r="B1966">
        <v>3.9232469999999999</v>
      </c>
      <c r="C1966">
        <f>LOG10(1.019714)</f>
        <v>8.478381920166882E-3</v>
      </c>
      <c r="D1966">
        <f>LOG10(3.923247)</f>
        <v>0.59364565132611524</v>
      </c>
    </row>
    <row r="1967" spans="1:4">
      <c r="A1967">
        <v>1.0259769999999999</v>
      </c>
      <c r="B1967">
        <v>3.700275</v>
      </c>
      <c r="C1967">
        <f>LOG10(1.025977)</f>
        <v>1.113762502039258E-2</v>
      </c>
      <c r="D1967">
        <f>LOG10(3.700275)</f>
        <v>0.56823400151143544</v>
      </c>
    </row>
    <row r="1968" spans="1:4">
      <c r="A1968">
        <v>1.0200629999999999</v>
      </c>
      <c r="B1968">
        <v>3.576057</v>
      </c>
      <c r="C1968">
        <f>LOG10(1.020063)</f>
        <v>8.6269950045023015E-3</v>
      </c>
      <c r="D1968">
        <f>LOG10(3.576057)</f>
        <v>0.55340443254786775</v>
      </c>
    </row>
    <row r="1969" spans="1:4">
      <c r="A1969">
        <v>1.0230710000000001</v>
      </c>
      <c r="B1969">
        <v>3.6342940000000001</v>
      </c>
      <c r="C1969">
        <f>LOG10(1.023071)</f>
        <v>9.9057743164965035E-3</v>
      </c>
      <c r="D1969">
        <f>LOG10(3.634294)</f>
        <v>0.56042005709778131</v>
      </c>
    </row>
    <row r="1970" spans="1:4">
      <c r="A1970">
        <v>1.0217210000000001</v>
      </c>
      <c r="B1970">
        <v>3.5107520000000001</v>
      </c>
      <c r="C1970">
        <f>LOG10(1.021721)</f>
        <v>9.3323197687919177E-3</v>
      </c>
      <c r="D1970">
        <f>LOG10(3.510752)</f>
        <v>0.54540015192744995</v>
      </c>
    </row>
    <row r="1971" spans="1:4">
      <c r="A1971">
        <v>1.0236700000000001</v>
      </c>
      <c r="B1971">
        <v>3.5004909999999998</v>
      </c>
      <c r="C1971">
        <f>LOG10(1.02367)</f>
        <v>1.0159975900465485E-2</v>
      </c>
      <c r="D1971">
        <f>LOG10(3.500491)</f>
        <v>0.54412896538880395</v>
      </c>
    </row>
    <row r="1972" spans="1:4">
      <c r="A1972">
        <v>1.017185</v>
      </c>
      <c r="B1972">
        <v>3.6742759999999999</v>
      </c>
      <c r="C1972">
        <f>LOG10(1.017185)</f>
        <v>7.3999471925613701E-3</v>
      </c>
      <c r="D1972">
        <f>LOG10(3.674276)</f>
        <v>0.5651717760239382</v>
      </c>
    </row>
    <row r="1973" spans="1:4">
      <c r="A1973">
        <v>1.0265789999999999</v>
      </c>
      <c r="B1973">
        <v>3.5979390000000002</v>
      </c>
      <c r="C1973">
        <f>LOG10(1.026579)</f>
        <v>1.1392375960783314E-2</v>
      </c>
      <c r="D1973">
        <f>LOG10(3.597939)</f>
        <v>0.55605379597785687</v>
      </c>
    </row>
    <row r="1974" spans="1:4">
      <c r="A1974">
        <v>1.0202469999999999</v>
      </c>
      <c r="B1974">
        <v>3.7225739999999998</v>
      </c>
      <c r="C1974">
        <f>LOG10(1.020247)</f>
        <v>8.7053264197154943E-3</v>
      </c>
      <c r="D1974">
        <f>LOG10(3.722574)</f>
        <v>0.57084333972770052</v>
      </c>
    </row>
    <row r="1975" spans="1:4">
      <c r="A1975">
        <v>1.0239180000000001</v>
      </c>
      <c r="B1975">
        <v>3.6564399999999999</v>
      </c>
      <c r="C1975">
        <f>LOG10(1.023918)</f>
        <v>1.0265177759470988E-2</v>
      </c>
      <c r="D1975">
        <f>LOG10(3.65644)</f>
        <v>0.56305845130526599</v>
      </c>
    </row>
    <row r="1976" spans="1:4">
      <c r="A1976">
        <v>1.030848</v>
      </c>
      <c r="B1976">
        <v>3.8921770000000002</v>
      </c>
      <c r="C1976">
        <f>LOG10(1.030848)</f>
        <v>1.3194632666787394E-2</v>
      </c>
      <c r="D1976">
        <f>LOG10(3.892177)</f>
        <v>0.59019258194970692</v>
      </c>
    </row>
    <row r="1977" spans="1:4">
      <c r="A1977">
        <v>1.0200100000000001</v>
      </c>
      <c r="B1977">
        <v>3.9387850000000002</v>
      </c>
      <c r="C1977">
        <f>LOG10(1.02001)</f>
        <v>8.6044295300844852E-3</v>
      </c>
      <c r="D1977">
        <f>LOG10(3.938785)</f>
        <v>0.59536227533517105</v>
      </c>
    </row>
    <row r="1978" spans="1:4">
      <c r="A1978">
        <v>1.0150950000000001</v>
      </c>
      <c r="B1978">
        <v>3.8930479999999998</v>
      </c>
      <c r="C1978">
        <f>LOG10(1.015095)</f>
        <v>6.5066885990931432E-3</v>
      </c>
      <c r="D1978">
        <f>LOG10(3.893048)</f>
        <v>0.59028975845913745</v>
      </c>
    </row>
    <row r="1979" spans="1:4">
      <c r="A1979">
        <v>1.013088</v>
      </c>
      <c r="B1979">
        <v>3.7251470000000002</v>
      </c>
      <c r="C1979">
        <f>LOG10(1.013088)</f>
        <v>5.6471711791308572E-3</v>
      </c>
      <c r="D1979">
        <f>LOG10(3.725147)</f>
        <v>0.57114341534718038</v>
      </c>
    </row>
    <row r="1980" spans="1:4">
      <c r="A1980">
        <v>1.0156670000000001</v>
      </c>
      <c r="B1980">
        <v>3.8573819999999999</v>
      </c>
      <c r="C1980">
        <f>LOG10(1.015667)</f>
        <v>6.7513420348164627E-3</v>
      </c>
      <c r="D1980">
        <f>LOG10(3.857382)</f>
        <v>0.58629264956792893</v>
      </c>
    </row>
    <row r="1981" spans="1:4">
      <c r="A1981">
        <v>1.0160709999999999</v>
      </c>
      <c r="B1981">
        <v>3.7169539999999999</v>
      </c>
      <c r="C1981">
        <f>LOG10(1.016071)</f>
        <v>6.9240562066253224E-3</v>
      </c>
      <c r="D1981">
        <f>LOG10(3.716954)</f>
        <v>0.57018718641996979</v>
      </c>
    </row>
    <row r="1982" spans="1:4">
      <c r="A1982">
        <v>1.023498</v>
      </c>
      <c r="B1982">
        <v>3.9356439999999999</v>
      </c>
      <c r="C1982">
        <f>LOG10(1.023498)</f>
        <v>1.0086998351907522E-2</v>
      </c>
      <c r="D1982">
        <f>LOG10(3.935644)</f>
        <v>0.59501580728269221</v>
      </c>
    </row>
    <row r="1983" spans="1:4">
      <c r="A1983">
        <v>1.022748</v>
      </c>
      <c r="B1983">
        <v>4.0957540000000003</v>
      </c>
      <c r="C1983">
        <f>LOG10(1.022748)</f>
        <v>9.7686389014667793E-3</v>
      </c>
      <c r="D1983">
        <f>LOG10(4.095754)</f>
        <v>0.61233386406862889</v>
      </c>
    </row>
    <row r="1984" spans="1:4">
      <c r="A1984">
        <v>1.023773</v>
      </c>
      <c r="B1984">
        <v>4.0083289999999998</v>
      </c>
      <c r="C1984">
        <f>LOG10(1.023773)</f>
        <v>1.0203671702178896E-2</v>
      </c>
      <c r="D1984">
        <f>LOG10(4.008329)</f>
        <v>0.60296336081840518</v>
      </c>
    </row>
    <row r="1985" spans="1:4">
      <c r="A1985">
        <v>1.021495</v>
      </c>
      <c r="B1985">
        <v>3.7989670000000002</v>
      </c>
      <c r="C1985">
        <f>LOG10(1.021495)</f>
        <v>9.2362451948746847E-3</v>
      </c>
      <c r="D1985">
        <f>LOG10(3.798967)</f>
        <v>0.57966552104086166</v>
      </c>
    </row>
    <row r="1986" spans="1:4">
      <c r="A1986">
        <v>1.0202690000000001</v>
      </c>
      <c r="B1986">
        <v>3.9687209999999999</v>
      </c>
      <c r="C1986">
        <f>LOG10(1.020269)</f>
        <v>8.7146911868649056E-3</v>
      </c>
      <c r="D1986">
        <f>LOG10(3.968721)</f>
        <v>0.59865056919706128</v>
      </c>
    </row>
    <row r="1987" spans="1:4">
      <c r="A1987">
        <v>1.113407</v>
      </c>
      <c r="B1987">
        <v>3.8055590000000001</v>
      </c>
      <c r="C1987">
        <f>LOG10(1.113407)</f>
        <v>4.6653947392885545E-2</v>
      </c>
      <c r="D1987">
        <f>LOG10(3.805559)</f>
        <v>0.58041845947299819</v>
      </c>
    </row>
    <row r="1988" spans="1:4">
      <c r="A1988">
        <v>1.1177919999999999</v>
      </c>
      <c r="B1988">
        <v>3.5062350000000002</v>
      </c>
      <c r="C1988">
        <f>LOG10(1.117792)</f>
        <v>4.8360997059911162E-2</v>
      </c>
      <c r="D1988">
        <f>LOG10(3.506235)</f>
        <v>0.54484102065195483</v>
      </c>
    </row>
    <row r="1989" spans="1:4">
      <c r="A1989">
        <v>1.114333</v>
      </c>
      <c r="B1989">
        <v>3.453919</v>
      </c>
      <c r="C1989">
        <f>LOG10(1.114333)</f>
        <v>4.7014991961285738E-2</v>
      </c>
      <c r="D1989">
        <f>LOG10(3.453919)</f>
        <v>0.53831214844119102</v>
      </c>
    </row>
    <row r="1990" spans="1:4">
      <c r="A1990">
        <v>1.126584</v>
      </c>
      <c r="B1990">
        <v>3.6851630000000002</v>
      </c>
      <c r="C1990">
        <f>LOG10(1.126584)</f>
        <v>5.1763578994970375E-2</v>
      </c>
      <c r="D1990">
        <f>LOG10(3.685163)</f>
        <v>0.56645670208243959</v>
      </c>
    </row>
    <row r="1991" spans="1:4">
      <c r="A1991">
        <v>1.1030800000000001</v>
      </c>
      <c r="B1991">
        <v>3.656021</v>
      </c>
      <c r="C1991">
        <f>LOG10(1.10308)</f>
        <v>4.2607010444403966E-2</v>
      </c>
      <c r="D1991">
        <f>LOG10(3.656021)</f>
        <v>0.56300868163453099</v>
      </c>
    </row>
    <row r="1992" spans="1:4">
      <c r="A1992">
        <v>1.0761689999999999</v>
      </c>
      <c r="B1992">
        <v>3.7117119999999999</v>
      </c>
      <c r="C1992">
        <f>LOG10(1.076169)</f>
        <v>3.1880477653937415E-2</v>
      </c>
      <c r="D1992">
        <f>LOG10(3.711712)</f>
        <v>0.56957427097808611</v>
      </c>
    </row>
    <row r="1993" spans="1:4">
      <c r="A1993">
        <v>1.1064039999999999</v>
      </c>
      <c r="B1993">
        <v>3.8690159999999998</v>
      </c>
      <c r="C1993">
        <f>LOG10(1.106404)</f>
        <v>4.3913737215848674E-2</v>
      </c>
      <c r="D1993">
        <f>LOG10(3.869016)</f>
        <v>0.58760052571435495</v>
      </c>
    </row>
    <row r="1994" spans="1:4">
      <c r="A1994">
        <v>1.1050120000000001</v>
      </c>
      <c r="B1994">
        <v>3.7863639999999998</v>
      </c>
      <c r="C1994">
        <f>LOG10(1.105012)</f>
        <v>4.3366994315686219E-2</v>
      </c>
      <c r="D1994">
        <f>LOG10(3.786364)</f>
        <v>0.57822236229353319</v>
      </c>
    </row>
    <row r="1995" spans="1:4">
      <c r="A1995">
        <v>1.1011820000000001</v>
      </c>
      <c r="B1995">
        <v>3.9482930000000001</v>
      </c>
      <c r="C1995">
        <f>LOG10(1.101182)</f>
        <v>4.1859103770543513E-2</v>
      </c>
      <c r="D1995">
        <f>LOG10(3.948293)</f>
        <v>0.59640937387641846</v>
      </c>
    </row>
    <row r="1996" spans="1:4">
      <c r="A1996">
        <v>1.097574</v>
      </c>
      <c r="B1996">
        <v>3.8481230000000002</v>
      </c>
      <c r="C1996">
        <f>LOG10(1.097574)</f>
        <v>4.0433810652882173E-2</v>
      </c>
      <c r="D1996">
        <f>LOG10(3.848123)</f>
        <v>0.58524894521804793</v>
      </c>
    </row>
    <row r="1997" spans="1:4">
      <c r="A1997">
        <v>1.105224</v>
      </c>
      <c r="B1997">
        <v>3.7892679999999999</v>
      </c>
      <c r="C1997">
        <f>LOG10(1.105224)</f>
        <v>4.3450307075451049E-2</v>
      </c>
      <c r="D1997">
        <f>LOG10(3.789268)</f>
        <v>0.57855532229930495</v>
      </c>
    </row>
    <row r="1998" spans="1:4">
      <c r="A1998">
        <v>1.0795950000000001</v>
      </c>
      <c r="B1998">
        <v>3.775328</v>
      </c>
      <c r="C1998">
        <f>LOG10(1.079595)</f>
        <v>3.3260864512269027E-2</v>
      </c>
      <c r="D1998">
        <f>LOG10(3.775328)</f>
        <v>0.57695468905181035</v>
      </c>
    </row>
    <row r="1999" spans="1:4">
      <c r="A1999">
        <v>1.0874969999999999</v>
      </c>
      <c r="B1999">
        <v>3.640628</v>
      </c>
      <c r="C1999">
        <f>LOG10(1.087497)</f>
        <v>3.6428067571279241E-2</v>
      </c>
      <c r="D1999">
        <f>LOG10(3.640628)</f>
        <v>0.56117630491554882</v>
      </c>
    </row>
    <row r="2000" spans="1:4">
      <c r="A2000">
        <v>1.0809770000000001</v>
      </c>
      <c r="B2000">
        <v>3.764313</v>
      </c>
      <c r="C2000">
        <f>LOG10(1.080977)</f>
        <v>3.381645354688223E-2</v>
      </c>
      <c r="D2000">
        <f>LOG10(3.764313)</f>
        <v>0.57568572753982694</v>
      </c>
    </row>
    <row r="2001" spans="1:4">
      <c r="A2001">
        <v>1.0836209999999999</v>
      </c>
      <c r="B2001">
        <v>3.5940460000000001</v>
      </c>
      <c r="C2001">
        <f>LOG10(1.083621)</f>
        <v>3.4877412839302652E-2</v>
      </c>
      <c r="D2001">
        <f>LOG10(3.594046)</f>
        <v>0.55558363132006727</v>
      </c>
    </row>
    <row r="2002" spans="1:4">
      <c r="A2002">
        <v>1.0891660000000001</v>
      </c>
      <c r="B2002">
        <v>3.7220279999999999</v>
      </c>
      <c r="C2002">
        <f>LOG10(1.089166)</f>
        <v>3.7094075706070338E-2</v>
      </c>
      <c r="D2002">
        <f>LOG10(3.722028)</f>
        <v>0.57077963590913661</v>
      </c>
    </row>
    <row r="2003" spans="1:4">
      <c r="A2003">
        <v>1.0589519999999999</v>
      </c>
      <c r="B2003">
        <v>4.0522819999999999</v>
      </c>
      <c r="C2003">
        <f>LOG10(1.058952)</f>
        <v>2.4876274925634826E-2</v>
      </c>
      <c r="D2003">
        <f>LOG10(4.052282)</f>
        <v>0.60769966047461799</v>
      </c>
    </row>
    <row r="2004" spans="1:4">
      <c r="A2004">
        <v>1.0525329999999999</v>
      </c>
      <c r="B2004">
        <v>4.337186</v>
      </c>
      <c r="C2004">
        <f>LOG10(1.052533)</f>
        <v>2.2235721128351729E-2</v>
      </c>
      <c r="D2004">
        <f>LOG10(4.337186)</f>
        <v>0.63720804724479896</v>
      </c>
    </row>
    <row r="2005" spans="1:4">
      <c r="A2005">
        <v>1.0449999999999999</v>
      </c>
      <c r="B2005">
        <v>4.2535889999999998</v>
      </c>
      <c r="C2005">
        <f>LOG10(1.045)</f>
        <v>1.9116290447072779E-2</v>
      </c>
      <c r="D2005">
        <f>LOG10(4.253589)</f>
        <v>0.62875552419969982</v>
      </c>
    </row>
    <row r="2006" spans="1:4">
      <c r="A2006">
        <v>1.04806</v>
      </c>
      <c r="B2006">
        <v>4.2856820000000004</v>
      </c>
      <c r="C2006">
        <f>LOG10(1.04806)</f>
        <v>2.0386146123869128E-2</v>
      </c>
      <c r="D2006">
        <f>LOG10(4.285682)</f>
        <v>0.63201994300798525</v>
      </c>
    </row>
    <row r="2007" spans="1:4">
      <c r="A2007">
        <v>1.0556540000000001</v>
      </c>
      <c r="B2007">
        <v>4.3197660000000004</v>
      </c>
      <c r="C2007">
        <f>LOG10(1.055654)</f>
        <v>2.35215976357286E-2</v>
      </c>
      <c r="D2007">
        <f>LOG10(4.319766)</f>
        <v>0.63546022189333662</v>
      </c>
    </row>
    <row r="2008" spans="1:4">
      <c r="A2008">
        <v>1.0417940000000001</v>
      </c>
      <c r="B2008">
        <v>4.2815539999999999</v>
      </c>
      <c r="C2008">
        <f>LOG10(1.041794)</f>
        <v>1.7781851873415702E-2</v>
      </c>
      <c r="D2008">
        <f>LOG10(4.281554)</f>
        <v>0.63160142581993617</v>
      </c>
    </row>
    <row r="2009" spans="1:4">
      <c r="A2009">
        <v>1.041031</v>
      </c>
      <c r="B2009">
        <v>4.1905599999999996</v>
      </c>
      <c r="C2009">
        <f>LOG10(1.041031)</f>
        <v>1.7463662198800658E-2</v>
      </c>
      <c r="D2009">
        <f>LOG10(4.19056)</f>
        <v>0.62227206321902961</v>
      </c>
    </row>
    <row r="2010" spans="1:4">
      <c r="A2010">
        <v>1.042591</v>
      </c>
      <c r="B2010">
        <v>4.1459710000000003</v>
      </c>
      <c r="C2010">
        <f>LOG10(1.042591)</f>
        <v>1.8113971629550567E-2</v>
      </c>
      <c r="D2010">
        <f>LOG10(4.145971)</f>
        <v>0.61762625999034981</v>
      </c>
    </row>
    <row r="2011" spans="1:4">
      <c r="A2011">
        <v>1.0706340000000001</v>
      </c>
      <c r="B2011">
        <v>4.1511110000000002</v>
      </c>
      <c r="C2011">
        <f>LOG10(1.070634)</f>
        <v>2.9641031105997716E-2</v>
      </c>
      <c r="D2011">
        <f>LOG10(4.151111)</f>
        <v>0.61816434649414609</v>
      </c>
    </row>
    <row r="2012" spans="1:4">
      <c r="A2012">
        <v>1.043396</v>
      </c>
      <c r="B2012">
        <v>4.2074299999999996</v>
      </c>
      <c r="C2012">
        <f>LOG10(1.043396)</f>
        <v>1.8449167462781753E-2</v>
      </c>
      <c r="D2012">
        <f>LOG10(4.20743)</f>
        <v>0.6240168992487829</v>
      </c>
    </row>
    <row r="2013" spans="1:4">
      <c r="A2013">
        <v>1.040419</v>
      </c>
      <c r="B2013">
        <v>4.3114990000000004</v>
      </c>
      <c r="C2013">
        <f>LOG10(1.040419)</f>
        <v>1.7208274627075127E-2</v>
      </c>
      <c r="D2013">
        <f>LOG10(4.311499)</f>
        <v>0.63462828970731699</v>
      </c>
    </row>
    <row r="2014" spans="1:4">
      <c r="A2014">
        <v>1.0461320000000001</v>
      </c>
      <c r="B2014">
        <v>4.2025959999999998</v>
      </c>
      <c r="C2014">
        <f>LOG10(1.046132)</f>
        <v>1.9586486878035967E-2</v>
      </c>
      <c r="D2014">
        <f>LOG10(4.202596)</f>
        <v>0.62351764282395838</v>
      </c>
    </row>
    <row r="2015" spans="1:4">
      <c r="A2015">
        <v>1.0692980000000001</v>
      </c>
      <c r="B2015">
        <v>4.3377610000000004</v>
      </c>
      <c r="C2015">
        <f>LOG10(1.069298)</f>
        <v>2.909875452598738E-2</v>
      </c>
      <c r="D2015">
        <f>LOG10(4.337761)</f>
        <v>0.63726561977578045</v>
      </c>
    </row>
    <row r="2016" spans="1:4">
      <c r="A2016">
        <v>1.0869850000000001</v>
      </c>
      <c r="B2016">
        <v>4.4230369999999999</v>
      </c>
      <c r="C2016">
        <f>LOG10(1.086985)</f>
        <v>3.6223551020814683E-2</v>
      </c>
      <c r="D2016">
        <f>LOG10(4.423037)</f>
        <v>0.64572057238534419</v>
      </c>
    </row>
    <row r="2017" spans="1:4">
      <c r="A2017">
        <v>1.0859430000000001</v>
      </c>
      <c r="B2017">
        <v>4.0891140000000004</v>
      </c>
      <c r="C2017">
        <f>LOG10(1.085943)</f>
        <v>3.5807030192852696E-2</v>
      </c>
      <c r="D2017">
        <f>LOG10(4.089114)</f>
        <v>0.61162921837551343</v>
      </c>
    </row>
    <row r="2018" spans="1:4">
      <c r="A2018">
        <v>1.097772</v>
      </c>
      <c r="B2018">
        <v>3.9140869999999999</v>
      </c>
      <c r="C2018">
        <f>LOG10(1.097772)</f>
        <v>4.0512149381856988E-2</v>
      </c>
      <c r="D2018">
        <f>LOG10(3.914087)</f>
        <v>0.5926304746689437</v>
      </c>
    </row>
    <row r="2019" spans="1:4">
      <c r="A2019">
        <v>1.0789800000000001</v>
      </c>
      <c r="B2019">
        <v>3.7751700000000001</v>
      </c>
      <c r="C2019">
        <f>LOG10(1.07898)</f>
        <v>3.3013394664246652E-2</v>
      </c>
      <c r="D2019">
        <f>LOG10(3.77517)</f>
        <v>0.57693651315714733</v>
      </c>
    </row>
    <row r="2020" spans="1:4">
      <c r="A2020">
        <v>1.0967150000000001</v>
      </c>
      <c r="B2020">
        <v>3.937719</v>
      </c>
      <c r="C2020">
        <f>LOG10(1.096715)</f>
        <v>4.0093783446792285E-2</v>
      </c>
      <c r="D2020">
        <f>LOG10(3.937719)</f>
        <v>0.59524472117141114</v>
      </c>
    </row>
    <row r="2021" spans="1:4">
      <c r="A2021">
        <v>1.0991310000000001</v>
      </c>
      <c r="B2021">
        <v>3.9688720000000002</v>
      </c>
      <c r="C2021">
        <f>LOG10(1.099131)</f>
        <v>4.1049456924511403E-2</v>
      </c>
      <c r="D2021">
        <f>LOG10(3.968872)</f>
        <v>0.59866709271162677</v>
      </c>
    </row>
    <row r="2022" spans="1:4">
      <c r="A2022">
        <v>1.0899049999999999</v>
      </c>
      <c r="B2022">
        <v>3.723338</v>
      </c>
      <c r="C2022">
        <f>LOG10(1.089905)</f>
        <v>3.7388644937114794E-2</v>
      </c>
      <c r="D2022">
        <f>LOG10(3.723338)</f>
        <v>0.57093246272172427</v>
      </c>
    </row>
    <row r="2023" spans="1:4">
      <c r="A2023">
        <v>1.1077250000000001</v>
      </c>
      <c r="B2023">
        <v>3.8458130000000001</v>
      </c>
      <c r="C2023">
        <f>LOG10(1.107725)</f>
        <v>4.4431957318350215E-2</v>
      </c>
      <c r="D2023">
        <f>LOG10(3.845813)</f>
        <v>0.58498816314672819</v>
      </c>
    </row>
    <row r="2024" spans="1:4">
      <c r="A2024">
        <v>1.0981510000000001</v>
      </c>
      <c r="B2024">
        <v>3.732939</v>
      </c>
      <c r="C2024">
        <f>LOG10(1.098151)</f>
        <v>4.0662061387219416E-2</v>
      </c>
      <c r="D2024">
        <f>LOG10(3.732939)</f>
        <v>0.57205089317306379</v>
      </c>
    </row>
    <row r="2025" spans="1:4">
      <c r="A2025">
        <v>1.073197</v>
      </c>
      <c r="B2025">
        <v>4.0645020000000001</v>
      </c>
      <c r="C2025">
        <f>LOG10(1.073197)</f>
        <v>3.0679449980830616E-2</v>
      </c>
      <c r="D2025">
        <f>LOG10(4.064502)</f>
        <v>0.60900734159032444</v>
      </c>
    </row>
    <row r="2026" spans="1:4">
      <c r="A2026">
        <v>1.0824050000000001</v>
      </c>
      <c r="B2026">
        <v>3.8256649999999999</v>
      </c>
      <c r="C2026">
        <f>LOG10(1.082405)</f>
        <v>3.4389789749391157E-2</v>
      </c>
      <c r="D2026">
        <f>LOG10(3.825665)</f>
        <v>0.58270693771918713</v>
      </c>
    </row>
    <row r="2027" spans="1:4">
      <c r="A2027">
        <v>1.0615380000000001</v>
      </c>
      <c r="B2027">
        <v>3.8564690000000001</v>
      </c>
      <c r="C2027">
        <f>LOG10(1.061538)</f>
        <v>2.5935545270670948E-2</v>
      </c>
      <c r="D2027">
        <f>LOG10(3.856469)</f>
        <v>0.58618984466183754</v>
      </c>
    </row>
    <row r="2028" spans="1:4">
      <c r="A2028">
        <v>1.096258</v>
      </c>
      <c r="B2028">
        <v>3.947333</v>
      </c>
      <c r="C2028">
        <f>LOG10(1.096258)</f>
        <v>3.9912775672320905E-2</v>
      </c>
      <c r="D2028">
        <f>LOG10(3.947333)</f>
        <v>0.59630376535223517</v>
      </c>
    </row>
    <row r="2029" spans="1:4">
      <c r="A2029">
        <v>1.092814</v>
      </c>
      <c r="B2029">
        <v>3.8856609999999998</v>
      </c>
      <c r="C2029">
        <f>LOG10(1.092814)</f>
        <v>3.8546250103746092E-2</v>
      </c>
      <c r="D2029">
        <f>LOG10(3.885661)</f>
        <v>0.58946490839668908</v>
      </c>
    </row>
    <row r="2030" spans="1:4">
      <c r="A2030">
        <v>1.078082</v>
      </c>
      <c r="B2030">
        <v>3.8444500000000001</v>
      </c>
      <c r="C2030">
        <f>LOG10(1.078082)</f>
        <v>3.2651794981641849E-2</v>
      </c>
      <c r="D2030">
        <f>LOG10(3.84445)</f>
        <v>0.58483421694618021</v>
      </c>
    </row>
    <row r="2031" spans="1:4">
      <c r="A2031">
        <v>1.0778989999999999</v>
      </c>
      <c r="B2031">
        <v>4.1415459999999999</v>
      </c>
      <c r="C2031">
        <f>LOG10(1.077899)</f>
        <v>3.2578069016172599E-2</v>
      </c>
      <c r="D2031">
        <f>LOG10(4.141546)</f>
        <v>0.61716248941466489</v>
      </c>
    </row>
    <row r="2032" spans="1:4">
      <c r="A2032">
        <v>1.082517</v>
      </c>
      <c r="B2032">
        <v>3.7829120000000001</v>
      </c>
      <c r="C2032">
        <f>LOG10(1.082517)</f>
        <v>3.44347253008951E-2</v>
      </c>
      <c r="D2032">
        <f>LOG10(3.782912)</f>
        <v>0.57782623863376281</v>
      </c>
    </row>
    <row r="2033" spans="1:4">
      <c r="A2033">
        <v>1.111208</v>
      </c>
      <c r="B2033">
        <v>3.883464</v>
      </c>
      <c r="C2033">
        <f>LOG10(1.111208)</f>
        <v>4.5795359388440184E-2</v>
      </c>
      <c r="D2033">
        <f>LOG10(3.883464)</f>
        <v>0.5892192835670782</v>
      </c>
    </row>
    <row r="2034" spans="1:4">
      <c r="A2034">
        <v>1.1209039999999999</v>
      </c>
      <c r="B2034">
        <v>4.1981919999999997</v>
      </c>
      <c r="C2034">
        <f>LOG10(1.120904)</f>
        <v>4.9568418968227099E-2</v>
      </c>
      <c r="D2034">
        <f>LOG10(4.198192)</f>
        <v>0.62306229671273305</v>
      </c>
    </row>
    <row r="2035" spans="1:4">
      <c r="A2035">
        <v>1.0350680000000001</v>
      </c>
      <c r="B2035">
        <v>4.0936859999999999</v>
      </c>
      <c r="C2035">
        <f>LOG10(1.035068)</f>
        <v>1.4968882212915115E-2</v>
      </c>
      <c r="D2035">
        <f>LOG10(4.093686)</f>
        <v>0.61211452770187702</v>
      </c>
    </row>
    <row r="2036" spans="1:4">
      <c r="A2036">
        <v>1.0219100000000001</v>
      </c>
      <c r="B2036">
        <v>3.8202259999999999</v>
      </c>
      <c r="C2036">
        <f>LOG10(1.02191)</f>
        <v>9.4126490036819024E-3</v>
      </c>
      <c r="D2036">
        <f>LOG10(3.820226)</f>
        <v>0.58208905601370298</v>
      </c>
    </row>
    <row r="2037" spans="1:4">
      <c r="A2037">
        <v>1.0209269999999999</v>
      </c>
      <c r="B2037">
        <v>3.7207599999999998</v>
      </c>
      <c r="C2037">
        <f>LOG10(1.020927)</f>
        <v>8.9946895593786755E-3</v>
      </c>
      <c r="D2037">
        <f>LOG10(3.72076)</f>
        <v>0.57063165764927459</v>
      </c>
    </row>
    <row r="2038" spans="1:4">
      <c r="A2038">
        <v>1.0243390000000001</v>
      </c>
      <c r="B2038">
        <v>3.9611809999999998</v>
      </c>
      <c r="C2038">
        <f>LOG10(1.024339)</f>
        <v>1.044370807032168E-2</v>
      </c>
      <c r="D2038">
        <f>LOG10(3.961181)</f>
        <v>0.59782468726803384</v>
      </c>
    </row>
    <row r="2039" spans="1:4">
      <c r="A2039">
        <v>1.018621</v>
      </c>
      <c r="B2039">
        <v>3.9657390000000001</v>
      </c>
      <c r="C2039">
        <f>LOG10(1.018621)</f>
        <v>8.0126253941628801E-3</v>
      </c>
      <c r="D2039">
        <f>LOG10(3.965739)</f>
        <v>0.59832412827833192</v>
      </c>
    </row>
    <row r="2040" spans="1:4">
      <c r="A2040">
        <v>1.0170030000000001</v>
      </c>
      <c r="B2040">
        <v>3.972334</v>
      </c>
      <c r="C2040">
        <f>LOG10(1.017003)</f>
        <v>7.3222340255214907E-3</v>
      </c>
      <c r="D2040">
        <f>LOG10(3.972334)</f>
        <v>0.59904575751180966</v>
      </c>
    </row>
    <row r="2041" spans="1:4">
      <c r="A2041">
        <v>1.017163</v>
      </c>
      <c r="B2041">
        <v>4.1314159999999998</v>
      </c>
      <c r="C2041">
        <f>LOG10(1.017163)</f>
        <v>7.3905540320969567E-3</v>
      </c>
      <c r="D2041">
        <f>LOG10(4.131416)</f>
        <v>0.61609892710157821</v>
      </c>
    </row>
    <row r="2042" spans="1:4">
      <c r="A2042">
        <v>1.0205960000000001</v>
      </c>
      <c r="B2042">
        <v>4.0353890000000003</v>
      </c>
      <c r="C2042">
        <f>LOG10(1.020596)</f>
        <v>8.8538618785055905E-3</v>
      </c>
      <c r="D2042">
        <f>LOG10(4.035389)</f>
        <v>0.60588540582649197</v>
      </c>
    </row>
    <row r="2043" spans="1:4">
      <c r="A2043">
        <v>1.0200709999999999</v>
      </c>
      <c r="B2043">
        <v>4.1711980000000004</v>
      </c>
      <c r="C2043">
        <f>LOG10(1.020071)</f>
        <v>8.6304010120049936E-3</v>
      </c>
      <c r="D2043">
        <f>LOG10(4.171198)</f>
        <v>0.62026080558941199</v>
      </c>
    </row>
    <row r="2044" spans="1:4">
      <c r="A2044">
        <v>1.021199</v>
      </c>
      <c r="B2044">
        <v>4.0650529999999998</v>
      </c>
      <c r="C2044">
        <f>LOG10(1.021199)</f>
        <v>9.1103808534283744E-3</v>
      </c>
      <c r="D2044">
        <f>LOG10(4.065053)</f>
        <v>0.60906621228125268</v>
      </c>
    </row>
    <row r="2045" spans="1:4">
      <c r="A2045">
        <v>1.0215669999999999</v>
      </c>
      <c r="B2045">
        <v>3.9106030000000001</v>
      </c>
      <c r="C2045">
        <f>LOG10(1.021567)</f>
        <v>9.266855330749087E-3</v>
      </c>
      <c r="D2045">
        <f>LOG10(3.910603)</f>
        <v>0.59224372910459733</v>
      </c>
    </row>
    <row r="2046" spans="1:4">
      <c r="A2046">
        <v>1.0131399999999999</v>
      </c>
      <c r="B2046">
        <v>3.9722469999999999</v>
      </c>
      <c r="C2046">
        <f>LOG10(1.01314)</f>
        <v>5.6694621681645701E-3</v>
      </c>
      <c r="D2046">
        <f>LOG10(3.972247)</f>
        <v>0.59903624571504477</v>
      </c>
    </row>
    <row r="2047" spans="1:4">
      <c r="A2047">
        <v>1.018694</v>
      </c>
      <c r="B2047">
        <v>3.902282</v>
      </c>
      <c r="C2047">
        <f>LOG10(1.018694)</f>
        <v>8.0437482172830178E-3</v>
      </c>
      <c r="D2047">
        <f>LOG10(3.902282)</f>
        <v>0.59131865066039069</v>
      </c>
    </row>
    <row r="2048" spans="1:4">
      <c r="A2048">
        <v>1.017447</v>
      </c>
      <c r="B2048">
        <v>4.0183840000000002</v>
      </c>
      <c r="C2048">
        <f>LOG10(1.017447)</f>
        <v>7.511795580758907E-3</v>
      </c>
      <c r="D2048">
        <f>LOG10(4.018384)</f>
        <v>0.60405143592455079</v>
      </c>
    </row>
    <row r="2049" spans="1:4">
      <c r="A2049">
        <v>1.0191870000000001</v>
      </c>
      <c r="B2049">
        <v>3.7292689999999999</v>
      </c>
      <c r="C2049">
        <f>LOG10(1.019187)</f>
        <v>8.2538754855142442E-3</v>
      </c>
      <c r="D2049">
        <f>LOG10(3.729269)</f>
        <v>0.57162371106366883</v>
      </c>
    </row>
    <row r="2050" spans="1:4">
      <c r="A2050">
        <v>1.026732</v>
      </c>
      <c r="B2050">
        <v>3.8283040000000002</v>
      </c>
      <c r="C2050">
        <f>LOG10(1.026732)</f>
        <v>1.1457097823038186E-2</v>
      </c>
      <c r="D2050">
        <f>LOG10(3.828304)</f>
        <v>0.5830064171613325</v>
      </c>
    </row>
    <row r="2051" spans="1:4">
      <c r="A2051">
        <v>1.045342</v>
      </c>
      <c r="B2051">
        <v>4.1466700000000003</v>
      </c>
      <c r="C2051">
        <f>LOG10(1.045342)</f>
        <v>1.9258399933593372E-2</v>
      </c>
      <c r="D2051">
        <f>LOG10(4.14667)</f>
        <v>0.61769947474631703</v>
      </c>
    </row>
    <row r="2052" spans="1:4">
      <c r="A2052">
        <v>1.037739</v>
      </c>
      <c r="B2052">
        <v>4.3598129999999999</v>
      </c>
      <c r="C2052">
        <f>LOG10(1.037739)</f>
        <v>1.6088138567425126E-2</v>
      </c>
      <c r="D2052">
        <f>LOG10(4.359813)</f>
        <v>0.63946786201863737</v>
      </c>
    </row>
    <row r="2053" spans="1:4">
      <c r="A2053">
        <v>1.0182530000000001</v>
      </c>
      <c r="B2053">
        <v>4.3194319999999999</v>
      </c>
      <c r="C2053">
        <f>LOG10(1.018253)</f>
        <v>7.8556982881373937E-3</v>
      </c>
      <c r="D2053">
        <f>LOG10(4.319432)</f>
        <v>0.63542664137879623</v>
      </c>
    </row>
    <row r="2054" spans="1:4">
      <c r="A2054">
        <v>1.0186820000000001</v>
      </c>
      <c r="B2054">
        <v>4.335229</v>
      </c>
      <c r="C2054">
        <f>LOG10(1.018682)</f>
        <v>8.038632289950158E-3</v>
      </c>
      <c r="D2054">
        <f>LOG10(4.335229)</f>
        <v>0.63701204317545701</v>
      </c>
    </row>
    <row r="2055" spans="1:4">
      <c r="A2055">
        <v>1.0265059999999999</v>
      </c>
      <c r="B2055">
        <v>4.3115209999999999</v>
      </c>
      <c r="C2055">
        <f>LOG10(1.026506)</f>
        <v>1.1361492195919908E-2</v>
      </c>
      <c r="D2055">
        <f>LOG10(4.311521)</f>
        <v>0.63463050574731261</v>
      </c>
    </row>
    <row r="2056" spans="1:4">
      <c r="A2056">
        <v>1.017126</v>
      </c>
      <c r="B2056">
        <v>4.2828270000000002</v>
      </c>
      <c r="C2056">
        <f>LOG10(1.017126)</f>
        <v>7.3747559858683039E-3</v>
      </c>
      <c r="D2056">
        <f>LOG10(4.282827)</f>
        <v>0.63173053191167461</v>
      </c>
    </row>
    <row r="2057" spans="1:4">
      <c r="A2057">
        <v>1.0210049999999999</v>
      </c>
      <c r="B2057">
        <v>4.2141140000000004</v>
      </c>
      <c r="C2057">
        <f>LOG10(1.021005)</f>
        <v>9.027868891114444E-3</v>
      </c>
      <c r="D2057">
        <f>LOG10(4.214114)</f>
        <v>0.62470627994347816</v>
      </c>
    </row>
    <row r="2058" spans="1:4">
      <c r="A2058">
        <v>1.0201210000000001</v>
      </c>
      <c r="B2058">
        <v>4.135154</v>
      </c>
      <c r="C2058">
        <f>LOG10(1.020121)</f>
        <v>8.6516879537237683E-3</v>
      </c>
      <c r="D2058">
        <f>LOG10(4.135154)</f>
        <v>0.61649168803725019</v>
      </c>
    </row>
    <row r="2059" spans="1:4">
      <c r="A2059">
        <v>1.0312779999999999</v>
      </c>
      <c r="B2059">
        <v>4.1594119999999997</v>
      </c>
      <c r="C2059">
        <f>LOG10(1.031278)</f>
        <v>1.3375753151107997E-2</v>
      </c>
      <c r="D2059">
        <f>LOG10(4.159412)</f>
        <v>0.61903194043335297</v>
      </c>
    </row>
    <row r="2060" spans="1:4">
      <c r="A2060">
        <v>1.023023</v>
      </c>
      <c r="B2060">
        <v>4.2214349999999996</v>
      </c>
      <c r="C2060">
        <f>LOG10(1.023023)</f>
        <v>9.8853977989609432E-3</v>
      </c>
      <c r="D2060">
        <f>LOG10(4.221435)</f>
        <v>0.62546010656466888</v>
      </c>
    </row>
    <row r="2061" spans="1:4">
      <c r="A2061">
        <v>1.0232460000000001</v>
      </c>
      <c r="B2061">
        <v>4.3239720000000004</v>
      </c>
      <c r="C2061">
        <f>LOG10(1.023246)</f>
        <v>9.980055607731797E-3</v>
      </c>
      <c r="D2061">
        <f>LOG10(4.323972)</f>
        <v>0.63588287300447688</v>
      </c>
    </row>
    <row r="2062" spans="1:4">
      <c r="A2062">
        <v>1.0208660000000001</v>
      </c>
      <c r="B2062">
        <v>4.2871420000000002</v>
      </c>
      <c r="C2062">
        <f>LOG10(1.020866)</f>
        <v>8.9687398539933377E-3</v>
      </c>
      <c r="D2062">
        <f>LOG10(4.287142)</f>
        <v>0.63216786858063412</v>
      </c>
    </row>
    <row r="2063" spans="1:4">
      <c r="A2063">
        <v>1.03447</v>
      </c>
      <c r="B2063">
        <v>4.4014110000000004</v>
      </c>
      <c r="C2063">
        <f>LOG10(1.03447)</f>
        <v>1.4717900489065431E-2</v>
      </c>
      <c r="D2063">
        <f>LOG10(4.401411)</f>
        <v>0.6435919245043098</v>
      </c>
    </row>
    <row r="2064" spans="1:4">
      <c r="A2064">
        <v>1.035992</v>
      </c>
      <c r="B2064">
        <v>4.4364140000000001</v>
      </c>
      <c r="C2064">
        <f>LOG10(1.035992)</f>
        <v>1.5356401770922918E-2</v>
      </c>
      <c r="D2064">
        <f>LOG10(4.436414)</f>
        <v>0.64703206712680705</v>
      </c>
    </row>
    <row r="2065" spans="1:4">
      <c r="A2065">
        <v>1.023155</v>
      </c>
      <c r="B2065">
        <v>4.0916309999999996</v>
      </c>
      <c r="C2065">
        <f>LOG10(1.023155)</f>
        <v>9.9414309218767045E-3</v>
      </c>
      <c r="D2065">
        <f>LOG10(4.091631)</f>
        <v>0.61189646035541689</v>
      </c>
    </row>
    <row r="2066" spans="1:4">
      <c r="A2066">
        <v>1.024756</v>
      </c>
      <c r="B2066">
        <v>3.9210430000000001</v>
      </c>
      <c r="C2066">
        <f>LOG10(1.024756)</f>
        <v>1.0620469812899403E-2</v>
      </c>
      <c r="D2066">
        <f>LOG10(3.921043)</f>
        <v>0.59340160500368133</v>
      </c>
    </row>
    <row r="2067" spans="1:4">
      <c r="A2067">
        <v>1.0184139999999999</v>
      </c>
      <c r="B2067">
        <v>3.7927919999999999</v>
      </c>
      <c r="C2067">
        <f>LOG10(1.018414)</f>
        <v>7.9243608743451606E-3</v>
      </c>
      <c r="D2067">
        <f>LOG10(3.792792)</f>
        <v>0.57895902627010731</v>
      </c>
    </row>
    <row r="2068" spans="1:4">
      <c r="A2068">
        <v>1.0246059999999999</v>
      </c>
      <c r="B2068">
        <v>3.9616090000000002</v>
      </c>
      <c r="C2068">
        <f>LOG10(1.024606)</f>
        <v>1.055689473694712E-2</v>
      </c>
      <c r="D2068">
        <f>LOG10(3.961609)</f>
        <v>0.5978716096371578</v>
      </c>
    </row>
    <row r="2069" spans="1:4">
      <c r="A2069">
        <v>1.0248489999999999</v>
      </c>
      <c r="B2069">
        <v>3.9500250000000001</v>
      </c>
      <c r="C2069">
        <f>LOG10(1.024849)</f>
        <v>1.0659881686743072E-2</v>
      </c>
      <c r="D2069">
        <f>LOG10(3.950025)</f>
        <v>0.5965998443170144</v>
      </c>
    </row>
    <row r="2070" spans="1:4">
      <c r="A2070">
        <v>1.036246</v>
      </c>
      <c r="B2070">
        <v>3.7431489999999998</v>
      </c>
      <c r="C2070">
        <f>LOG10(1.036246)</f>
        <v>1.5462867146961632E-2</v>
      </c>
      <c r="D2070">
        <f>LOG10(3.743149)</f>
        <v>0.57323711500912233</v>
      </c>
    </row>
    <row r="2071" spans="1:4">
      <c r="A2071">
        <v>1.025582</v>
      </c>
      <c r="B2071">
        <v>3.852074</v>
      </c>
      <c r="C2071">
        <f>LOG10(1.025582)</f>
        <v>1.097038993480985E-2</v>
      </c>
      <c r="D2071">
        <f>LOG10(3.852074)</f>
        <v>0.58569462151661122</v>
      </c>
    </row>
    <row r="2072" spans="1:4">
      <c r="A2072">
        <v>1.019741</v>
      </c>
      <c r="B2072">
        <v>3.8780760000000001</v>
      </c>
      <c r="C2072">
        <f>LOG10(1.019741)</f>
        <v>8.4898810226350149E-3</v>
      </c>
      <c r="D2072">
        <f>LOG10(3.878076)</f>
        <v>0.58861631584562724</v>
      </c>
    </row>
    <row r="2073" spans="1:4">
      <c r="A2073">
        <v>1.023579</v>
      </c>
      <c r="B2073">
        <v>4.2017410000000002</v>
      </c>
      <c r="C2073">
        <f>LOG10(1.023579)</f>
        <v>1.0121367213511185E-2</v>
      </c>
      <c r="D2073">
        <f>LOG10(4.201741)</f>
        <v>0.62342927849889429</v>
      </c>
    </row>
    <row r="2074" spans="1:4">
      <c r="A2074">
        <v>1.018613</v>
      </c>
      <c r="B2074">
        <v>4.0095320000000001</v>
      </c>
      <c r="C2074">
        <f>LOG10(1.018613)</f>
        <v>8.0092145382128551E-3</v>
      </c>
      <c r="D2074">
        <f>LOG10(4.009532)</f>
        <v>0.60309368392219809</v>
      </c>
    </row>
    <row r="2075" spans="1:4">
      <c r="A2075">
        <v>1.015965</v>
      </c>
      <c r="B2075">
        <v>4.0500790000000002</v>
      </c>
      <c r="C2075">
        <f>LOG10(1.015965)</f>
        <v>6.8787467582459884E-3</v>
      </c>
      <c r="D2075">
        <f>LOG10(4.050079)</f>
        <v>0.60746349455527437</v>
      </c>
    </row>
    <row r="2076" spans="1:4">
      <c r="A2076">
        <v>1.031925</v>
      </c>
      <c r="B2076">
        <v>4.2347570000000001</v>
      </c>
      <c r="C2076">
        <f>LOG10(1.031925)</f>
        <v>1.364813404528285E-2</v>
      </c>
      <c r="D2076">
        <f>LOG10(4.234757)</f>
        <v>0.62682849457536272</v>
      </c>
    </row>
    <row r="2077" spans="1:4">
      <c r="A2077">
        <v>1.0241180000000001</v>
      </c>
      <c r="B2077">
        <v>4.1729149999999997</v>
      </c>
      <c r="C2077">
        <f>LOG10(1.024118)</f>
        <v>1.0349999409731773E-2</v>
      </c>
      <c r="D2077">
        <f>LOG10(4.172915)</f>
        <v>0.62043953846034794</v>
      </c>
    </row>
    <row r="2078" spans="1:4">
      <c r="A2078">
        <v>1.0183709999999999</v>
      </c>
      <c r="B2078">
        <v>4.016</v>
      </c>
      <c r="C2078">
        <f>LOG10(1.018371)</f>
        <v>7.9060234821072758E-3</v>
      </c>
      <c r="D2078">
        <f>LOG10(4.016)</f>
        <v>0.60379370413696287</v>
      </c>
    </row>
    <row r="2079" spans="1:4">
      <c r="A2079">
        <v>1.0200450000000001</v>
      </c>
      <c r="B2079">
        <v>4.3975850000000003</v>
      </c>
      <c r="C2079">
        <f>LOG10(1.020045)</f>
        <v>8.6193313899540561E-3</v>
      </c>
      <c r="D2079">
        <f>LOG10(4.397585)</f>
        <v>0.6432142425977645</v>
      </c>
    </row>
    <row r="2080" spans="1:4">
      <c r="A2080">
        <v>1.022729</v>
      </c>
      <c r="B2080">
        <v>3.9191919999999998</v>
      </c>
      <c r="C2080">
        <f>LOG10(1.022729)</f>
        <v>9.7605707636618626E-3</v>
      </c>
      <c r="D2080">
        <f>LOG10(3.919192)</f>
        <v>0.5931965399511826</v>
      </c>
    </row>
    <row r="2081" spans="1:4">
      <c r="A2081">
        <v>1.0227250000000001</v>
      </c>
      <c r="B2081">
        <v>4.1109280000000004</v>
      </c>
      <c r="C2081">
        <f>LOG10(1.022725)</f>
        <v>9.7588721892352855E-3</v>
      </c>
      <c r="D2081">
        <f>LOG10(4.110928)</f>
        <v>0.61393987048588994</v>
      </c>
    </row>
    <row r="2082" spans="1:4">
      <c r="A2082">
        <v>1.0984719999999999</v>
      </c>
      <c r="B2082">
        <v>4.41587</v>
      </c>
      <c r="C2082">
        <f>LOG10(1.098472)</f>
        <v>4.0788991251545892E-2</v>
      </c>
      <c r="D2082">
        <f>LOG10(4.41587)</f>
        <v>0.64501627959576102</v>
      </c>
    </row>
    <row r="2083" spans="1:4">
      <c r="A2083">
        <v>1.1110120000000001</v>
      </c>
      <c r="B2083">
        <v>4.0021570000000004</v>
      </c>
      <c r="C2083">
        <f>LOG10(1.111012)</f>
        <v>4.5718749765024227E-2</v>
      </c>
      <c r="D2083">
        <f>LOG10(4.002157)</f>
        <v>0.60229412150565165</v>
      </c>
    </row>
    <row r="2084" spans="1:4">
      <c r="A2084">
        <v>1.1128530000000001</v>
      </c>
      <c r="B2084">
        <v>3.9597500000000001</v>
      </c>
      <c r="C2084">
        <f>LOG10(1.112853)</f>
        <v>4.6437800897920212E-2</v>
      </c>
      <c r="D2084">
        <f>LOG10(3.95975)</f>
        <v>0.59766776747909367</v>
      </c>
    </row>
    <row r="2085" spans="1:4">
      <c r="A2085">
        <v>1.114657</v>
      </c>
      <c r="B2085">
        <v>4.2012070000000001</v>
      </c>
      <c r="C2085">
        <f>LOG10(1.114657)</f>
        <v>4.7141247721183874E-2</v>
      </c>
      <c r="D2085">
        <f>LOG10(4.201207)</f>
        <v>0.62337408042944331</v>
      </c>
    </row>
    <row r="2086" spans="1:4">
      <c r="A2086">
        <v>1.0750189999999999</v>
      </c>
      <c r="B2086">
        <v>4.3672440000000003</v>
      </c>
      <c r="C2086">
        <f>LOG10(1.075019)</f>
        <v>3.1416140086262208E-2</v>
      </c>
      <c r="D2086">
        <f>LOG10(4.367244)</f>
        <v>0.64020745683851255</v>
      </c>
    </row>
    <row r="2087" spans="1:4">
      <c r="A2087">
        <v>1.1013189999999999</v>
      </c>
      <c r="B2087">
        <v>4.503819</v>
      </c>
      <c r="C2087">
        <f>LOG10(1.101319)</f>
        <v>4.1913131754274198E-2</v>
      </c>
      <c r="D2087">
        <f>LOG10(4.503819)</f>
        <v>0.65358092871701468</v>
      </c>
    </row>
    <row r="2088" spans="1:4">
      <c r="A2088">
        <v>1.1041339999999999</v>
      </c>
      <c r="B2088">
        <v>4.4642549999999996</v>
      </c>
      <c r="C2088">
        <f>LOG10(1.104134)</f>
        <v>4.3021783473860389E-2</v>
      </c>
      <c r="D2088">
        <f>LOG10(4.464255)</f>
        <v>0.6497489937095231</v>
      </c>
    </row>
    <row r="2089" spans="1:4">
      <c r="A2089">
        <v>1.1048819999999999</v>
      </c>
      <c r="B2089">
        <v>4.4005169999999998</v>
      </c>
      <c r="C2089">
        <f>LOG10(1.104882)</f>
        <v>4.3315898396413498E-2</v>
      </c>
      <c r="D2089">
        <f>LOG10(4.400517)</f>
        <v>0.64350370309005678</v>
      </c>
    </row>
    <row r="2090" spans="1:4">
      <c r="A2090">
        <v>1.0989249999999999</v>
      </c>
      <c r="B2090">
        <v>4.3539089999999998</v>
      </c>
      <c r="C2090">
        <f>LOG10(1.098925)</f>
        <v>4.0968053481165043E-2</v>
      </c>
      <c r="D2090">
        <f>LOG10(4.353909)</f>
        <v>0.63887934771590293</v>
      </c>
    </row>
    <row r="2091" spans="1:4">
      <c r="A2091">
        <v>1.110697</v>
      </c>
      <c r="B2091">
        <v>4.3015179999999997</v>
      </c>
      <c r="C2091">
        <f>LOG10(1.110697)</f>
        <v>4.5595598836872753E-2</v>
      </c>
      <c r="D2091">
        <f>LOG10(4.301518)</f>
        <v>0.63362174457587139</v>
      </c>
    </row>
    <row r="2092" spans="1:4">
      <c r="A2092">
        <v>1.095701</v>
      </c>
      <c r="B2092">
        <v>4.3455750000000002</v>
      </c>
      <c r="C2092">
        <f>LOG10(1.095701)</f>
        <v>3.9692058011427805E-2</v>
      </c>
      <c r="D2092">
        <f>LOG10(4.345575)</f>
        <v>0.63804724978471317</v>
      </c>
    </row>
    <row r="2093" spans="1:4">
      <c r="A2093">
        <v>1.0772470000000001</v>
      </c>
      <c r="B2093">
        <v>4.2748020000000002</v>
      </c>
      <c r="C2093">
        <f>LOG10(1.077247)</f>
        <v>3.2315293305534294E-2</v>
      </c>
      <c r="D2093">
        <f>LOG10(4.274802)</f>
        <v>0.63091600390656977</v>
      </c>
    </row>
    <row r="2094" spans="1:4">
      <c r="A2094">
        <v>1.0890299999999999</v>
      </c>
      <c r="B2094">
        <v>4.1706469999999998</v>
      </c>
      <c r="C2094">
        <f>LOG10(1.08903)</f>
        <v>3.7039843626298224E-2</v>
      </c>
      <c r="D2094">
        <f>LOG10(4.170647)</f>
        <v>0.62020343308731507</v>
      </c>
    </row>
    <row r="2095" spans="1:4">
      <c r="A2095">
        <v>1.0914470000000001</v>
      </c>
      <c r="B2095">
        <v>4.0887830000000003</v>
      </c>
      <c r="C2095">
        <f>LOG10(1.091447)</f>
        <v>3.8002651482269958E-2</v>
      </c>
      <c r="D2095">
        <f>LOG10(4.088783)</f>
        <v>0.61159406227765878</v>
      </c>
    </row>
    <row r="2096" spans="1:4">
      <c r="A2096">
        <v>1.09494</v>
      </c>
      <c r="B2096">
        <v>3.77799</v>
      </c>
      <c r="C2096">
        <f>LOG10(1.09494)</f>
        <v>3.9390321566229382E-2</v>
      </c>
      <c r="D2096">
        <f>LOG10(3.77799)</f>
        <v>0.57726080404887281</v>
      </c>
    </row>
    <row r="2097" spans="1:4">
      <c r="A2097">
        <v>1.1364399999999999</v>
      </c>
      <c r="B2097">
        <v>3.743312</v>
      </c>
      <c r="C2097">
        <f>LOG10(1.13644)</f>
        <v>5.5546511458456967E-2</v>
      </c>
      <c r="D2097">
        <f>LOG10(3.743312)</f>
        <v>0.57325602648159557</v>
      </c>
    </row>
    <row r="2098" spans="1:4">
      <c r="A2098">
        <v>1.057458</v>
      </c>
      <c r="B2098">
        <v>3.840767</v>
      </c>
      <c r="C2098">
        <f>LOG10(1.057458)</f>
        <v>2.4263127129378198E-2</v>
      </c>
      <c r="D2098">
        <f>LOG10(3.840767)</f>
        <v>0.58441796150425873</v>
      </c>
    </row>
    <row r="2099" spans="1:4">
      <c r="A2099">
        <v>1.0668489999999999</v>
      </c>
      <c r="B2099">
        <v>3.9625409999999999</v>
      </c>
      <c r="C2099">
        <f>LOG10(1.066849)</f>
        <v>2.8102954469005018E-2</v>
      </c>
      <c r="D2099">
        <f>LOG10(3.962541)</f>
        <v>0.59797376884893438</v>
      </c>
    </row>
    <row r="2100" spans="1:4">
      <c r="A2100">
        <v>1.0480339999999999</v>
      </c>
      <c r="B2100">
        <v>4.2212360000000002</v>
      </c>
      <c r="C2100">
        <f>LOG10(1.048034)</f>
        <v>2.0375372125632313E-2</v>
      </c>
      <c r="D2100">
        <f>LOG10(4.221236)</f>
        <v>0.62543963328034591</v>
      </c>
    </row>
    <row r="2101" spans="1:4">
      <c r="A2101">
        <v>1.055158</v>
      </c>
      <c r="B2101">
        <v>4.2156450000000003</v>
      </c>
      <c r="C2101">
        <f>LOG10(1.055158)</f>
        <v>2.3317496022710743E-2</v>
      </c>
      <c r="D2101">
        <f>LOG10(4.215645)</f>
        <v>0.62486403175087968</v>
      </c>
    </row>
    <row r="2102" spans="1:4">
      <c r="A2102">
        <v>1.059531</v>
      </c>
      <c r="B2102">
        <v>4.2726009999999999</v>
      </c>
      <c r="C2102">
        <f>LOG10(1.059531)</f>
        <v>2.511366791985107E-2</v>
      </c>
      <c r="D2102">
        <f>LOG10(4.272601)</f>
        <v>0.63069233779984779</v>
      </c>
    </row>
    <row r="2103" spans="1:4">
      <c r="A2103">
        <v>1.0636859999999999</v>
      </c>
      <c r="B2103">
        <v>4.1895230000000003</v>
      </c>
      <c r="C2103">
        <f>LOG10(1.063686)</f>
        <v>2.6813443190874992E-2</v>
      </c>
      <c r="D2103">
        <f>LOG10(4.189523)</f>
        <v>0.62216457899004718</v>
      </c>
    </row>
    <row r="2104" spans="1:4">
      <c r="A2104">
        <v>1.0464800000000001</v>
      </c>
      <c r="B2104">
        <v>4.1447580000000004</v>
      </c>
      <c r="C2104">
        <f>LOG10(1.04648)</f>
        <v>1.9730932653072686E-2</v>
      </c>
      <c r="D2104">
        <f>LOG10(4.144758)</f>
        <v>0.61749917847307734</v>
      </c>
    </row>
    <row r="2105" spans="1:4">
      <c r="A2105">
        <v>1.0472939999999999</v>
      </c>
      <c r="B2105">
        <v>4.0482810000000002</v>
      </c>
      <c r="C2105">
        <f>LOG10(1.047294)</f>
        <v>2.006861544603861E-2</v>
      </c>
      <c r="D2105">
        <f>LOG10(4.048281)</f>
        <v>0.60727065020375326</v>
      </c>
    </row>
    <row r="2106" spans="1:4">
      <c r="A2106">
        <v>1.063952</v>
      </c>
      <c r="B2106">
        <v>3.9868510000000001</v>
      </c>
      <c r="C2106">
        <f>LOG10(1.063952)</f>
        <v>2.6922035284819727E-2</v>
      </c>
      <c r="D2106">
        <f>LOG10(3.986851)</f>
        <v>0.60063000514145515</v>
      </c>
    </row>
    <row r="2107" spans="1:4">
      <c r="A2107">
        <v>1.0543450000000001</v>
      </c>
      <c r="B2107">
        <v>4.0952919999999997</v>
      </c>
      <c r="C2107">
        <f>LOG10(1.054345)</f>
        <v>2.2982742830827487E-2</v>
      </c>
      <c r="D2107">
        <f>LOG10(4.095292)</f>
        <v>0.61228487299939249</v>
      </c>
    </row>
    <row r="2108" spans="1:4">
      <c r="A2108">
        <v>1.072937</v>
      </c>
      <c r="B2108">
        <v>4.1659629999999996</v>
      </c>
      <c r="C2108">
        <f>LOG10(1.072937)</f>
        <v>3.0574222100514446E-2</v>
      </c>
      <c r="D2108">
        <f>LOG10(4.165963)</f>
        <v>0.61971540844245476</v>
      </c>
    </row>
    <row r="2109" spans="1:4">
      <c r="A2109">
        <v>1.0552330000000001</v>
      </c>
      <c r="B2109">
        <v>4.324179</v>
      </c>
      <c r="C2109">
        <f>LOG10(1.055233)</f>
        <v>2.3348364317881145E-2</v>
      </c>
      <c r="D2109">
        <f>LOG10(4.324179)</f>
        <v>0.63590366333475001</v>
      </c>
    </row>
    <row r="2110" spans="1:4">
      <c r="A2110">
        <v>1.0414140000000001</v>
      </c>
      <c r="B2110">
        <v>4.1676289999999998</v>
      </c>
      <c r="C2110">
        <f>LOG10(1.041414)</f>
        <v>1.7623411712900126E-2</v>
      </c>
      <c r="D2110">
        <f>LOG10(4.167629)</f>
        <v>0.61988905136053618</v>
      </c>
    </row>
    <row r="2111" spans="1:4">
      <c r="A2111">
        <v>1.0551539999999999</v>
      </c>
      <c r="B2111">
        <v>4.2695499999999997</v>
      </c>
      <c r="C2111">
        <f>LOG10(1.055154)</f>
        <v>2.3315849652005689E-2</v>
      </c>
      <c r="D2111">
        <f>LOG10(4.26955)</f>
        <v>0.63038210387384197</v>
      </c>
    </row>
    <row r="2112" spans="1:4">
      <c r="A2112">
        <v>1.04097</v>
      </c>
      <c r="B2112">
        <v>4.035533</v>
      </c>
      <c r="C2112">
        <f>LOG10(1.04097)</f>
        <v>1.7438213639070169E-2</v>
      </c>
      <c r="D2112">
        <f>LOG10(4.035533)</f>
        <v>0.60590090304115973</v>
      </c>
    </row>
    <row r="2113" spans="1:4">
      <c r="A2113">
        <v>1.058735</v>
      </c>
      <c r="B2113">
        <v>3.9993150000000002</v>
      </c>
      <c r="C2113">
        <f>LOG10(1.058735)</f>
        <v>2.4787270362729336E-2</v>
      </c>
      <c r="D2113">
        <f>LOG10(3.999315)</f>
        <v>0.60198561202902723</v>
      </c>
    </row>
    <row r="2114" spans="1:4">
      <c r="A2114">
        <v>1.0507150000000001</v>
      </c>
      <c r="B2114">
        <v>3.7078600000000002</v>
      </c>
      <c r="C2114">
        <f>LOG10(1.050715)</f>
        <v>2.148493228677293E-2</v>
      </c>
      <c r="D2114">
        <f>LOG10(3.70786)</f>
        <v>0.56912332785236586</v>
      </c>
    </row>
    <row r="2115" spans="1:4">
      <c r="A2115">
        <v>1.0310569999999999</v>
      </c>
      <c r="B2115">
        <v>3.5251589999999999</v>
      </c>
      <c r="C2115">
        <f>LOG10(1.031057)</f>
        <v>1.3282675080990373E-2</v>
      </c>
      <c r="D2115">
        <f>LOG10(3.525159)</f>
        <v>0.54717871033885235</v>
      </c>
    </row>
    <row r="2116" spans="1:4">
      <c r="A2116">
        <v>1.0556190000000001</v>
      </c>
      <c r="B2116">
        <v>3.5495320000000001</v>
      </c>
      <c r="C2116">
        <f>LOG10(1.055619)</f>
        <v>2.350719844920179E-2</v>
      </c>
      <c r="D2116">
        <f>LOG10(3.549532)</f>
        <v>0.55017109581114476</v>
      </c>
    </row>
    <row r="2117" spans="1:4">
      <c r="A2117">
        <v>1.0851820000000001</v>
      </c>
      <c r="B2117">
        <v>3.6567880000000001</v>
      </c>
      <c r="C2117">
        <f>LOG10(1.085182)</f>
        <v>3.5502581472246525E-2</v>
      </c>
      <c r="D2117">
        <f>LOG10(3.656788)</f>
        <v>0.56309978311655828</v>
      </c>
    </row>
    <row r="2118" spans="1:4">
      <c r="A2118">
        <v>1.1427210000000001</v>
      </c>
      <c r="B2118">
        <v>3.7566139999999999</v>
      </c>
      <c r="C2118">
        <f>LOG10(1.142721)</f>
        <v>5.794020856579972E-2</v>
      </c>
      <c r="D2118">
        <f>LOG10(3.756614)</f>
        <v>0.57479657268321915</v>
      </c>
    </row>
    <row r="2119" spans="1:4">
      <c r="A2119">
        <v>1.0934649999999999</v>
      </c>
      <c r="B2119">
        <v>3.7422439999999999</v>
      </c>
      <c r="C2119">
        <f>LOG10(1.093465)</f>
        <v>3.880488655048956E-2</v>
      </c>
      <c r="D2119">
        <f>LOG10(3.742244)</f>
        <v>0.57313210074787047</v>
      </c>
    </row>
    <row r="2120" spans="1:4">
      <c r="A2120">
        <v>1.0706359999999999</v>
      </c>
      <c r="B2120">
        <v>3.5808209999999998</v>
      </c>
      <c r="C2120">
        <f>LOG10(1.070636)</f>
        <v>2.9641842389921493E-2</v>
      </c>
      <c r="D2120">
        <f>LOG10(3.580821)</f>
        <v>0.55398261180909625</v>
      </c>
    </row>
    <row r="2121" spans="1:4">
      <c r="A2121">
        <v>1.0858140000000001</v>
      </c>
      <c r="B2121">
        <v>3.7869100000000002</v>
      </c>
      <c r="C2121">
        <f>LOG10(1.085814)</f>
        <v>3.5755436954537888E-2</v>
      </c>
      <c r="D2121">
        <f>LOG10(3.78691)</f>
        <v>0.57828498376676396</v>
      </c>
    </row>
    <row r="2122" spans="1:4">
      <c r="A2122">
        <v>1.0687500000000001</v>
      </c>
      <c r="B2122">
        <v>3.8006609999999998</v>
      </c>
      <c r="C2122">
        <f>LOG10(1.06875)</f>
        <v>2.8876127736229093E-2</v>
      </c>
      <c r="D2122">
        <f>LOG10(3.800661)</f>
        <v>0.57985913442944559</v>
      </c>
    </row>
    <row r="2123" spans="1:4">
      <c r="A2123">
        <v>1.078716</v>
      </c>
      <c r="B2123">
        <v>3.7105359999999998</v>
      </c>
      <c r="C2123">
        <f>LOG10(1.078716)</f>
        <v>3.2907120431180818E-2</v>
      </c>
      <c r="D2123">
        <f>LOG10(3.710536)</f>
        <v>0.56943664951488737</v>
      </c>
    </row>
    <row r="2124" spans="1:4">
      <c r="A2124">
        <v>1.093669</v>
      </c>
      <c r="B2124">
        <v>3.6246130000000001</v>
      </c>
      <c r="C2124">
        <f>LOG10(1.093669)</f>
        <v>3.8885902230887039E-2</v>
      </c>
      <c r="D2124">
        <f>LOG10(3.624613)</f>
        <v>0.55926164375206056</v>
      </c>
    </row>
    <row r="2125" spans="1:4">
      <c r="A2125">
        <v>1.0870690000000001</v>
      </c>
      <c r="B2125">
        <v>3.8171900000000001</v>
      </c>
      <c r="C2125">
        <f>LOG10(1.087069)</f>
        <v>3.625711112235587E-2</v>
      </c>
      <c r="D2125">
        <f>LOG10(3.81719)</f>
        <v>0.58174377742300987</v>
      </c>
    </row>
    <row r="2126" spans="1:4">
      <c r="A2126">
        <v>1.0955569999999999</v>
      </c>
      <c r="B2126">
        <v>3.6773989999999999</v>
      </c>
      <c r="C2126">
        <f>LOG10(1.095557)</f>
        <v>3.9634978100724312E-2</v>
      </c>
      <c r="D2126">
        <f>LOG10(3.677399)</f>
        <v>0.56554075363749379</v>
      </c>
    </row>
    <row r="2127" spans="1:4">
      <c r="A2127">
        <v>1.0851420000000001</v>
      </c>
      <c r="B2127">
        <v>3.7524609999999998</v>
      </c>
      <c r="C2127">
        <f>LOG10(1.085142)</f>
        <v>3.5486573005973181E-2</v>
      </c>
      <c r="D2127">
        <f>LOG10(3.752461)</f>
        <v>0.57431618723834299</v>
      </c>
    </row>
    <row r="2128" spans="1:4">
      <c r="A2128">
        <v>1.1186</v>
      </c>
      <c r="B2128">
        <v>3.6853570000000002</v>
      </c>
      <c r="C2128">
        <f>LOG10(1.1186)</f>
        <v>4.8674814992229434E-2</v>
      </c>
      <c r="D2128">
        <f>LOG10(3.685357)</f>
        <v>0.56647956427656121</v>
      </c>
    </row>
    <row r="2129" spans="1:4">
      <c r="A2129">
        <v>1.1149929999999999</v>
      </c>
      <c r="B2129">
        <v>3.696437</v>
      </c>
      <c r="C2129">
        <f>LOG10(1.114993)</f>
        <v>4.7272140863178401E-2</v>
      </c>
      <c r="D2129">
        <f>LOG10(3.696437)</f>
        <v>0.56778330872492866</v>
      </c>
    </row>
    <row r="2130" spans="1:4">
      <c r="A2130">
        <v>1.102028</v>
      </c>
      <c r="B2130">
        <v>2.9713129999999999</v>
      </c>
      <c r="C2130">
        <f>LOG10(1.102028)</f>
        <v>4.2192629081111099E-2</v>
      </c>
      <c r="D2130">
        <f>LOG10(2.971313)</f>
        <v>0.4729484030702033</v>
      </c>
    </row>
    <row r="2131" spans="1:4">
      <c r="A2131">
        <v>1.022418</v>
      </c>
      <c r="B2131">
        <v>4.6492610000000001</v>
      </c>
      <c r="C2131">
        <f>LOG10(1.022418)</f>
        <v>9.6284867766301269E-3</v>
      </c>
      <c r="D2131">
        <f>LOG10(4.649261)</f>
        <v>0.66738392727107898</v>
      </c>
    </row>
    <row r="2132" spans="1:4">
      <c r="A2132">
        <v>1.0189859999999999</v>
      </c>
      <c r="B2132">
        <v>4.2002660000000001</v>
      </c>
      <c r="C2132">
        <f>LOG10(1.018986)</f>
        <v>8.1682172110246962E-3</v>
      </c>
      <c r="D2132">
        <f>LOG10(4.200266)</f>
        <v>0.62327679484412268</v>
      </c>
    </row>
    <row r="2133" spans="1:4">
      <c r="A2133">
        <v>1.023639</v>
      </c>
      <c r="B2133">
        <v>4.2436879999999997</v>
      </c>
      <c r="C2133">
        <f>LOG10(1.023639)</f>
        <v>1.0146823876086088E-2</v>
      </c>
      <c r="D2133">
        <f>LOG10(4.243688)</f>
        <v>0.62774344665737281</v>
      </c>
    </row>
    <row r="2134" spans="1:4">
      <c r="A2134">
        <v>1.0229090000000001</v>
      </c>
      <c r="B2134">
        <v>4.4317549999999999</v>
      </c>
      <c r="C2134">
        <f>LOG10(1.022909)</f>
        <v>9.836999737844361E-3</v>
      </c>
      <c r="D2134">
        <f>LOG10(4.431755)</f>
        <v>0.64657574335188994</v>
      </c>
    </row>
    <row r="2135" spans="1:4">
      <c r="A2135">
        <v>1.017031</v>
      </c>
      <c r="B2135">
        <v>4.6289860000000003</v>
      </c>
      <c r="C2135">
        <f>LOG10(1.017031)</f>
        <v>7.3341908025409729E-3</v>
      </c>
      <c r="D2135">
        <f>LOG10(4.628986)</f>
        <v>0.66548586729567716</v>
      </c>
    </row>
    <row r="2136" spans="1:4">
      <c r="A2136">
        <v>1.0232559999999999</v>
      </c>
      <c r="B2136">
        <v>4.720415</v>
      </c>
      <c r="C2136">
        <f>LOG10(1.023256)</f>
        <v>9.9842998692267759E-3</v>
      </c>
      <c r="D2136">
        <f>LOG10(4.720415)</f>
        <v>0.67398018174576368</v>
      </c>
    </row>
    <row r="2137" spans="1:4">
      <c r="A2137">
        <v>1.022486</v>
      </c>
      <c r="B2137">
        <v>4.71753</v>
      </c>
      <c r="C2137">
        <f>LOG10(1.022486)</f>
        <v>9.657370308356103E-3</v>
      </c>
      <c r="D2137">
        <f>LOG10(4.71753)</f>
        <v>0.67371467063729329</v>
      </c>
    </row>
    <row r="2138" spans="1:4">
      <c r="A2138">
        <v>1.021363</v>
      </c>
      <c r="B2138">
        <v>4.5805400000000001</v>
      </c>
      <c r="C2138">
        <f>LOG10(1.021363)</f>
        <v>9.1801210083761412E-3</v>
      </c>
      <c r="D2138">
        <f>LOG10(4.58054)</f>
        <v>0.6609166800117201</v>
      </c>
    </row>
    <row r="2139" spans="1:4">
      <c r="A2139">
        <v>1.0203150000000001</v>
      </c>
      <c r="B2139">
        <v>4.5568119999999999</v>
      </c>
      <c r="C2139">
        <f>LOG10(1.020315)</f>
        <v>8.7342714111251461E-3</v>
      </c>
      <c r="D2139">
        <f>LOG10(4.556812)</f>
        <v>0.65866111130203764</v>
      </c>
    </row>
    <row r="2140" spans="1:4">
      <c r="A2140">
        <v>1.020335</v>
      </c>
      <c r="B2140">
        <v>4.4509319999999999</v>
      </c>
      <c r="C2140">
        <f>LOG10(1.020335)</f>
        <v>8.7427842767692342E-3</v>
      </c>
      <c r="D2140">
        <f>LOG10(4.450932)</f>
        <v>0.64845095931277208</v>
      </c>
    </row>
    <row r="2141" spans="1:4">
      <c r="A2141">
        <v>1.02267</v>
      </c>
      <c r="B2141">
        <v>4.6401130000000004</v>
      </c>
      <c r="C2141">
        <f>LOG10(1.02267)</f>
        <v>9.7355161171704813E-3</v>
      </c>
      <c r="D2141">
        <f>LOG10(4.640113)</f>
        <v>0.66652855699429658</v>
      </c>
    </row>
    <row r="2142" spans="1:4">
      <c r="A2142">
        <v>1.0178469999999999</v>
      </c>
      <c r="B2142">
        <v>4.3714170000000001</v>
      </c>
      <c r="C2142">
        <f>LOG10(1.017847)</f>
        <v>7.6825009383120505E-3</v>
      </c>
      <c r="D2142">
        <f>LOG10(4.371417)</f>
        <v>0.64062223686276132</v>
      </c>
    </row>
    <row r="2143" spans="1:4">
      <c r="A2143">
        <v>1.0205869999999999</v>
      </c>
      <c r="B2143">
        <v>4.418774</v>
      </c>
      <c r="C2143">
        <f>LOG10(1.020587)</f>
        <v>8.8500320892733464E-3</v>
      </c>
      <c r="D2143">
        <f>LOG10(4.418774)</f>
        <v>0.64530178996174059</v>
      </c>
    </row>
    <row r="2144" spans="1:4">
      <c r="A2144">
        <v>1.0267550000000001</v>
      </c>
      <c r="B2144">
        <v>4.1795540000000004</v>
      </c>
      <c r="C2144">
        <f>LOG10(1.026755)</f>
        <v>1.1466826419405475E-2</v>
      </c>
      <c r="D2144">
        <f>LOG10(4.179554)</f>
        <v>0.62112994070489858</v>
      </c>
    </row>
    <row r="2145" spans="1:4">
      <c r="A2145">
        <v>1.030383</v>
      </c>
      <c r="B2145">
        <v>3.896973</v>
      </c>
      <c r="C2145">
        <f>LOG10(1.030383)</f>
        <v>1.2998684772047952E-2</v>
      </c>
      <c r="D2145">
        <f>LOG10(3.896973)</f>
        <v>0.59072739681356978</v>
      </c>
    </row>
    <row r="2146" spans="1:4">
      <c r="A2146">
        <v>1.0205109999999999</v>
      </c>
      <c r="B2146">
        <v>3.8218999999999999</v>
      </c>
      <c r="C2146">
        <f>LOG10(1.020511)</f>
        <v>8.8176903000600059E-3</v>
      </c>
      <c r="D2146">
        <f>LOG10(3.8219)</f>
        <v>0.58227931955406709</v>
      </c>
    </row>
    <row r="2147" spans="1:4">
      <c r="A2147">
        <v>1.032729</v>
      </c>
      <c r="B2147">
        <v>3.9009529999999999</v>
      </c>
      <c r="C2147">
        <f>LOG10(1.032729)</f>
        <v>1.398637258898063E-2</v>
      </c>
      <c r="D2147">
        <f>LOG10(3.900953)</f>
        <v>0.59117071781663288</v>
      </c>
    </row>
    <row r="2148" spans="1:4">
      <c r="A2148">
        <v>1.0312319999999999</v>
      </c>
      <c r="B2148">
        <v>4.0076450000000001</v>
      </c>
      <c r="C2148">
        <f>LOG10(1.031232)</f>
        <v>1.3356381079049334E-2</v>
      </c>
      <c r="D2148">
        <f>LOG10(4.007645)</f>
        <v>0.60288924445367076</v>
      </c>
    </row>
    <row r="2149" spans="1:4">
      <c r="A2149">
        <v>1.0261480000000001</v>
      </c>
      <c r="B2149">
        <v>4.2794420000000004</v>
      </c>
      <c r="C2149">
        <f>LOG10(1.026148)</f>
        <v>1.1210003025219191E-2</v>
      </c>
      <c r="D2149">
        <f>LOG10(4.279442)</f>
        <v>0.63138714468620183</v>
      </c>
    </row>
    <row r="2150" spans="1:4">
      <c r="A2150">
        <v>1.0201929999999999</v>
      </c>
      <c r="B2150">
        <v>4.2496919999999996</v>
      </c>
      <c r="C2150">
        <f>LOG10(1.020193)</f>
        <v>8.6823393169060525E-3</v>
      </c>
      <c r="D2150">
        <f>LOG10(4.249692)</f>
        <v>0.62835745533323117</v>
      </c>
    </row>
    <row r="2151" spans="1:4">
      <c r="A2151">
        <v>1.0267120000000001</v>
      </c>
      <c r="B2151">
        <v>4.3161930000000002</v>
      </c>
      <c r="C2151">
        <f>LOG10(1.026712)</f>
        <v>1.1448637996874627E-2</v>
      </c>
      <c r="D2151">
        <f>LOG10(4.316193)</f>
        <v>0.63510085606670852</v>
      </c>
    </row>
    <row r="2152" spans="1:4">
      <c r="A2152">
        <v>1.0245629999999999</v>
      </c>
      <c r="B2152">
        <v>4.1649250000000002</v>
      </c>
      <c r="C2152">
        <f>LOG10(1.024563)</f>
        <v>1.0538668165371435E-2</v>
      </c>
      <c r="D2152">
        <f>LOG10(4.164925)</f>
        <v>0.61960718524354774</v>
      </c>
    </row>
    <row r="2153" spans="1:4">
      <c r="A2153">
        <v>1.019712</v>
      </c>
      <c r="B2153">
        <v>4.1984750000000002</v>
      </c>
      <c r="C2153">
        <f>LOG10(1.019712)</f>
        <v>8.4775301226867744E-3</v>
      </c>
      <c r="D2153">
        <f>LOG10(4.198475)</f>
        <v>0.62309157150436767</v>
      </c>
    </row>
    <row r="2154" spans="1:4">
      <c r="A2154">
        <v>1.0217020000000001</v>
      </c>
      <c r="B2154">
        <v>4.0229090000000003</v>
      </c>
      <c r="C2154">
        <f>LOG10(1.021702)</f>
        <v>9.3242435210875562E-3</v>
      </c>
      <c r="D2154">
        <f>LOG10(4.022909)</f>
        <v>0.60454020874704095</v>
      </c>
    </row>
    <row r="2155" spans="1:4">
      <c r="A2155">
        <v>1.0325150000000001</v>
      </c>
      <c r="B2155">
        <v>4.0061749999999998</v>
      </c>
      <c r="C2155">
        <f>LOG10(1.032515)</f>
        <v>1.38963696455416E-2</v>
      </c>
      <c r="D2155">
        <f>LOG10(4.006175)</f>
        <v>0.60272991646887486</v>
      </c>
    </row>
    <row r="2156" spans="1:4">
      <c r="A2156">
        <v>1.02182</v>
      </c>
      <c r="B2156">
        <v>4.0922409999999996</v>
      </c>
      <c r="C2156">
        <f>LOG10(1.02182)</f>
        <v>9.3743988401117431E-3</v>
      </c>
      <c r="D2156">
        <f>LOG10(4.092241)</f>
        <v>0.61196120223663197</v>
      </c>
    </row>
    <row r="2157" spans="1:4">
      <c r="A2157">
        <v>1.035404</v>
      </c>
      <c r="B2157">
        <v>4.2166319999999997</v>
      </c>
      <c r="C2157">
        <f>LOG10(1.035404)</f>
        <v>1.5109838426957543E-2</v>
      </c>
      <c r="D2157">
        <f>LOG10(4.216632)</f>
        <v>0.62496570029321896</v>
      </c>
    </row>
    <row r="2158" spans="1:4">
      <c r="A2158">
        <v>1.0212140000000001</v>
      </c>
      <c r="B2158">
        <v>4.3327650000000002</v>
      </c>
      <c r="C2158">
        <f>LOG10(1.021214)</f>
        <v>9.1167599914662827E-3</v>
      </c>
      <c r="D2158">
        <f>LOG10(4.332765)</f>
        <v>0.63676513445996108</v>
      </c>
    </row>
    <row r="2159" spans="1:4">
      <c r="A2159">
        <v>1.0204500000000001</v>
      </c>
      <c r="B2159">
        <v>4.1869500000000004</v>
      </c>
      <c r="C2159">
        <f>LOG10(1.02045)</f>
        <v>8.7917300162486754E-3</v>
      </c>
      <c r="D2159">
        <f>LOG10(4.18695)</f>
        <v>0.62189777463525919</v>
      </c>
    </row>
    <row r="2160" spans="1:4">
      <c r="A2160">
        <v>1.030915</v>
      </c>
      <c r="B2160">
        <v>4.2790949999999999</v>
      </c>
      <c r="C2160">
        <f>LOG10(1.030915)</f>
        <v>1.3222858733796819E-2</v>
      </c>
      <c r="D2160">
        <f>LOG10(4.279095)</f>
        <v>0.63135192834366494</v>
      </c>
    </row>
    <row r="2161" spans="1:4">
      <c r="A2161">
        <v>1.0204200000000001</v>
      </c>
      <c r="B2161">
        <v>4.0505319999999996</v>
      </c>
      <c r="C2161">
        <f>LOG10(1.02042)</f>
        <v>8.7789620942761593E-3</v>
      </c>
      <c r="D2161">
        <f>LOG10(4.050532)</f>
        <v>0.60751206753341314</v>
      </c>
    </row>
    <row r="2162" spans="1:4">
      <c r="A2162">
        <v>1.0155989999999999</v>
      </c>
      <c r="B2162">
        <v>4.0060609999999999</v>
      </c>
      <c r="C2162">
        <f>LOG10(1.015599)</f>
        <v>6.7222645779195997E-3</v>
      </c>
      <c r="D2162">
        <f>LOG10(4.006061)</f>
        <v>0.60271755797845095</v>
      </c>
    </row>
    <row r="2163" spans="1:4">
      <c r="A2163">
        <v>1.0231209999999999</v>
      </c>
      <c r="B2163">
        <v>3.727023</v>
      </c>
      <c r="C2163">
        <f>LOG10(1.023121)</f>
        <v>9.9269988390236503E-3</v>
      </c>
      <c r="D2163">
        <f>LOG10(3.727023)</f>
        <v>0.57136207285640539</v>
      </c>
    </row>
    <row r="2164" spans="1:4">
      <c r="A2164">
        <v>1.014777</v>
      </c>
      <c r="B2164">
        <v>3.5516299999999998</v>
      </c>
      <c r="C2164">
        <f>LOG10(1.014777)</f>
        <v>6.3706153428729814E-3</v>
      </c>
      <c r="D2164">
        <f>LOG10(3.55163)</f>
        <v>0.55042771574166982</v>
      </c>
    </row>
    <row r="2165" spans="1:4">
      <c r="A2165">
        <v>1.022265</v>
      </c>
      <c r="B2165">
        <v>3.6084480000000001</v>
      </c>
      <c r="C2165">
        <f>LOG10(1.022265)</f>
        <v>9.5634918059131543E-3</v>
      </c>
      <c r="D2165">
        <f>LOG10(3.608448)</f>
        <v>0.55732045122287965</v>
      </c>
    </row>
    <row r="2166" spans="1:4">
      <c r="A2166">
        <v>1.0244260000000001</v>
      </c>
      <c r="B2166">
        <v>3.6835689999999999</v>
      </c>
      <c r="C2166">
        <f>LOG10(1.024426)</f>
        <v>1.0480592359098843E-2</v>
      </c>
      <c r="D2166">
        <f>LOG10(3.683569)</f>
        <v>0.56626880939888102</v>
      </c>
    </row>
    <row r="2167" spans="1:4">
      <c r="A2167">
        <v>1.0221979999999999</v>
      </c>
      <c r="B2167">
        <v>3.937322</v>
      </c>
      <c r="C2167">
        <f>LOG10(1.022198)</f>
        <v>9.535026893319528E-3</v>
      </c>
      <c r="D2167">
        <f>LOG10(3.937322)</f>
        <v>0.59520093348587111</v>
      </c>
    </row>
    <row r="2168" spans="1:4">
      <c r="A2168">
        <v>1.0232600000000001</v>
      </c>
      <c r="B2168">
        <v>3.9056989999999998</v>
      </c>
      <c r="C2168">
        <f>LOG10(1.02326)</f>
        <v>9.9859975622110138E-3</v>
      </c>
      <c r="D2168">
        <f>LOG10(3.905699)</f>
        <v>0.5916987705247706</v>
      </c>
    </row>
    <row r="2169" spans="1:4">
      <c r="A2169">
        <v>1.020367</v>
      </c>
      <c r="B2169">
        <v>3.83013</v>
      </c>
      <c r="C2169">
        <f>LOG10(1.020367)</f>
        <v>8.7564045147285798E-3</v>
      </c>
      <c r="D2169">
        <f>LOG10(3.83013)</f>
        <v>0.58321351478441907</v>
      </c>
    </row>
    <row r="2170" spans="1:4">
      <c r="A2170">
        <v>1.038654</v>
      </c>
      <c r="B2170">
        <v>4.0039769999999999</v>
      </c>
      <c r="C2170">
        <f>LOG10(1.038654)</f>
        <v>1.6470897974400225E-2</v>
      </c>
      <c r="D2170">
        <f>LOG10(4.003977)</f>
        <v>0.60249157410154353</v>
      </c>
    </row>
    <row r="2171" spans="1:4">
      <c r="A2171">
        <v>1.023166</v>
      </c>
      <c r="B2171">
        <v>3.9859360000000001</v>
      </c>
      <c r="C2171">
        <f>LOG10(1.023166)</f>
        <v>9.9461000224733108E-3</v>
      </c>
      <c r="D2171">
        <f>LOG10(3.985936)</f>
        <v>0.60053032119086525</v>
      </c>
    </row>
    <row r="2172" spans="1:4">
      <c r="A2172">
        <v>1.0242709999999999</v>
      </c>
      <c r="B2172">
        <v>4.0164730000000004</v>
      </c>
      <c r="C2172">
        <f>LOG10(1.024271)</f>
        <v>1.0414876789814074E-2</v>
      </c>
      <c r="D2172">
        <f>LOG10(4.016473)</f>
        <v>0.60384485184456871</v>
      </c>
    </row>
    <row r="2173" spans="1:4">
      <c r="A2173">
        <v>1.027479</v>
      </c>
      <c r="B2173">
        <v>3.8199529999999999</v>
      </c>
      <c r="C2173">
        <f>LOG10(1.027479)</f>
        <v>1.1772954365800064E-2</v>
      </c>
      <c r="D2173">
        <f>LOG10(3.819953)</f>
        <v>0.58205801946505409</v>
      </c>
    </row>
    <row r="2174" spans="1:4">
      <c r="A2174">
        <v>1.0153479999999999</v>
      </c>
      <c r="B2174">
        <v>4.0766030000000004</v>
      </c>
      <c r="C2174">
        <f>LOG10(1.015348)</f>
        <v>6.6149176944088938E-3</v>
      </c>
      <c r="D2174">
        <f>LOG10(4.076603)</f>
        <v>0.6102984197414979</v>
      </c>
    </row>
    <row r="2175" spans="1:4">
      <c r="A2175">
        <v>1.017981</v>
      </c>
      <c r="B2175">
        <v>3.964448</v>
      </c>
      <c r="C2175">
        <f>LOG10(1.017981)</f>
        <v>7.7396722324087142E-3</v>
      </c>
      <c r="D2175">
        <f>LOG10(3.964448)</f>
        <v>0.59818272576636344</v>
      </c>
    </row>
    <row r="2176" spans="1:4">
      <c r="A2176">
        <v>1.0148710000000001</v>
      </c>
      <c r="B2176">
        <v>4.0989579999999997</v>
      </c>
      <c r="C2176">
        <f>LOG10(1.014871)</f>
        <v>6.4108426939487448E-3</v>
      </c>
      <c r="D2176">
        <f>LOG10(4.098958)</f>
        <v>0.61267346833804603</v>
      </c>
    </row>
    <row r="2177" spans="1:4">
      <c r="A2177">
        <v>1.020926</v>
      </c>
      <c r="B2177">
        <v>4.0558899999999998</v>
      </c>
      <c r="C2177">
        <f>LOG10(1.020926)</f>
        <v>8.9942641668730762E-3</v>
      </c>
      <c r="D2177">
        <f>LOG10(4.05589)</f>
        <v>0.60808616796215764</v>
      </c>
    </row>
    <row r="2178" spans="1:4">
      <c r="A2178">
        <v>1.099504</v>
      </c>
      <c r="B2178">
        <v>3.9717020000000001</v>
      </c>
      <c r="C2178">
        <f>LOG10(1.099504)</f>
        <v>4.1196813664765249E-2</v>
      </c>
      <c r="D2178">
        <f>LOG10(3.971702)</f>
        <v>0.59897665558096691</v>
      </c>
    </row>
    <row r="2179" spans="1:4">
      <c r="A2179">
        <v>1.1427229999999999</v>
      </c>
      <c r="B2179">
        <v>3.8942399999999999</v>
      </c>
      <c r="C2179">
        <f>LOG10(1.142723)</f>
        <v>5.7940968671025432E-2</v>
      </c>
      <c r="D2179">
        <f>LOG10(3.89424)</f>
        <v>0.59042271335343999</v>
      </c>
    </row>
    <row r="2180" spans="1:4">
      <c r="A2180">
        <v>1.096055</v>
      </c>
      <c r="B2180">
        <v>3.5591149999999998</v>
      </c>
      <c r="C2180">
        <f>LOG10(1.096055)</f>
        <v>3.98323475764438E-2</v>
      </c>
      <c r="D2180">
        <f>LOG10(3.559115)</f>
        <v>0.55134202089469497</v>
      </c>
    </row>
    <row r="2181" spans="1:4">
      <c r="A2181">
        <v>1.0952379999999999</v>
      </c>
      <c r="B2181">
        <v>4.038297</v>
      </c>
      <c r="C2181">
        <f>LOG10(1.095238)</f>
        <v>3.9508503518934389E-2</v>
      </c>
      <c r="D2181">
        <f>LOG10(4.038297)</f>
        <v>0.60619825634061608</v>
      </c>
    </row>
    <row r="2182" spans="1:4">
      <c r="A2182">
        <v>1.0651269999999999</v>
      </c>
      <c r="B2182">
        <v>4.5360069999999997</v>
      </c>
      <c r="C2182">
        <f>LOG10(1.065127)</f>
        <v>2.7401393794338494E-2</v>
      </c>
      <c r="D2182">
        <f>LOG10(4.536007)</f>
        <v>0.65667371609186675</v>
      </c>
    </row>
    <row r="2183" spans="1:4">
      <c r="A2183">
        <v>1.1104689999999999</v>
      </c>
      <c r="B2183">
        <v>4.1273119999999999</v>
      </c>
      <c r="C2183">
        <f>LOG10(1.110469)</f>
        <v>4.5506439231312631E-2</v>
      </c>
      <c r="D2183">
        <f>LOG10(4.127312)</f>
        <v>0.61566730017296634</v>
      </c>
    </row>
    <row r="2184" spans="1:4">
      <c r="A2184">
        <v>1.1002209999999999</v>
      </c>
      <c r="B2184">
        <v>4.2083440000000003</v>
      </c>
      <c r="C2184">
        <f>LOG10(1.100221)</f>
        <v>4.1479930103913092E-2</v>
      </c>
      <c r="D2184">
        <f>LOG10(4.208344)</f>
        <v>0.62411123285565506</v>
      </c>
    </row>
    <row r="2185" spans="1:4">
      <c r="A2185">
        <v>1.100911</v>
      </c>
      <c r="B2185">
        <v>4.0813959999999998</v>
      </c>
      <c r="C2185">
        <f>LOG10(1.100911)</f>
        <v>4.1752211095992538E-2</v>
      </c>
      <c r="D2185">
        <f>LOG10(4.081396)</f>
        <v>0.61080873451139894</v>
      </c>
    </row>
    <row r="2186" spans="1:4">
      <c r="A2186">
        <v>1.109235</v>
      </c>
      <c r="B2186">
        <v>4.3380520000000002</v>
      </c>
      <c r="C2186">
        <f>LOG10(1.109235)</f>
        <v>4.5023564536417558E-2</v>
      </c>
      <c r="D2186">
        <f>LOG10(4.338052)</f>
        <v>0.63729475357437226</v>
      </c>
    </row>
    <row r="2187" spans="1:4">
      <c r="A2187">
        <v>1.1047070000000001</v>
      </c>
      <c r="B2187">
        <v>3.7694459999999999</v>
      </c>
      <c r="C2187">
        <f>LOG10(1.104707)</f>
        <v>4.3247105933659657E-2</v>
      </c>
      <c r="D2187">
        <f>LOG10(3.769446)</f>
        <v>0.57627752611489613</v>
      </c>
    </row>
    <row r="2188" spans="1:4">
      <c r="A2188">
        <v>1.075277</v>
      </c>
      <c r="B2188">
        <v>4.1652880000000003</v>
      </c>
      <c r="C2188">
        <f>LOG10(1.075277)</f>
        <v>3.152035641449679E-2</v>
      </c>
      <c r="D2188">
        <f>LOG10(4.165288)</f>
        <v>0.61964503515135461</v>
      </c>
    </row>
    <row r="2189" spans="1:4">
      <c r="A2189">
        <v>1.072686</v>
      </c>
      <c r="B2189">
        <v>3.9695459999999998</v>
      </c>
      <c r="C2189">
        <f>LOG10(1.072686)</f>
        <v>3.0472612530282425E-2</v>
      </c>
      <c r="D2189">
        <f>LOG10(3.969546)</f>
        <v>0.59874083901259156</v>
      </c>
    </row>
    <row r="2190" spans="1:4">
      <c r="A2190">
        <v>1.0847800000000001</v>
      </c>
      <c r="B2190">
        <v>3.8645779999999998</v>
      </c>
      <c r="C2190">
        <f>LOG10(1.08478)</f>
        <v>3.5341669545012416E-2</v>
      </c>
      <c r="D2190">
        <f>LOG10(3.864578)</f>
        <v>0.58710207722526675</v>
      </c>
    </row>
    <row r="2191" spans="1:4">
      <c r="A2191">
        <v>1.1018019999999999</v>
      </c>
      <c r="B2191">
        <v>3.584031</v>
      </c>
      <c r="C2191">
        <f>LOG10(1.101802)</f>
        <v>4.2103556372912902E-2</v>
      </c>
      <c r="D2191">
        <f>LOG10(3.584031)</f>
        <v>0.55437175742722888</v>
      </c>
    </row>
    <row r="2192" spans="1:4">
      <c r="A2192">
        <v>1.0794889999999999</v>
      </c>
      <c r="B2192">
        <v>3.596584</v>
      </c>
      <c r="C2192">
        <f>LOG10(1.079489)</f>
        <v>3.3218221229174158E-2</v>
      </c>
      <c r="D2192">
        <f>LOG10(3.596584)</f>
        <v>0.55589020791790156</v>
      </c>
    </row>
    <row r="2193" spans="1:4">
      <c r="A2193">
        <v>1.072848</v>
      </c>
      <c r="B2193">
        <v>3.5709439999999999</v>
      </c>
      <c r="C2193">
        <f>LOG10(1.072848)</f>
        <v>3.0538195929288945E-2</v>
      </c>
      <c r="D2193">
        <f>LOG10(3.570944)</f>
        <v>0.55278303958463737</v>
      </c>
    </row>
    <row r="2194" spans="1:4">
      <c r="A2194">
        <v>1.074981</v>
      </c>
      <c r="B2194">
        <v>4.1866279999999998</v>
      </c>
      <c r="C2194">
        <f>LOG10(1.074981)</f>
        <v>3.1400788281318918E-2</v>
      </c>
      <c r="D2194">
        <f>LOG10(4.186628)</f>
        <v>0.62186437366300051</v>
      </c>
    </row>
    <row r="2195" spans="1:4">
      <c r="A2195">
        <v>1.091162</v>
      </c>
      <c r="B2195">
        <v>4.2150340000000002</v>
      </c>
      <c r="C2195">
        <f>LOG10(1.091162)</f>
        <v>3.7889233157644767E-2</v>
      </c>
      <c r="D2195">
        <f>LOG10(4.215034)</f>
        <v>0.62480108215241725</v>
      </c>
    </row>
    <row r="2196" spans="1:4">
      <c r="A2196">
        <v>1.066754</v>
      </c>
      <c r="B2196">
        <v>4.2990240000000002</v>
      </c>
      <c r="C2196">
        <f>LOG10(1.066754)</f>
        <v>2.8064280005378885E-2</v>
      </c>
      <c r="D2196">
        <f>LOG10(4.299024)</f>
        <v>0.63336986964328545</v>
      </c>
    </row>
    <row r="2197" spans="1:4">
      <c r="A2197">
        <v>1.0583020000000001</v>
      </c>
      <c r="B2197">
        <v>4.2366890000000001</v>
      </c>
      <c r="C2197">
        <f>LOG10(1.058302)</f>
        <v>2.4609616865613991E-2</v>
      </c>
      <c r="D2197">
        <f>LOG10(4.236689)</f>
        <v>0.62702658518553334</v>
      </c>
    </row>
    <row r="2198" spans="1:4">
      <c r="A2198">
        <v>1.0448900000000001</v>
      </c>
      <c r="B2198">
        <v>4.2651490000000001</v>
      </c>
      <c r="C2198">
        <f>LOG10(1.04489)</f>
        <v>1.9070572832218982E-2</v>
      </c>
      <c r="D2198">
        <f>LOG10(4.265149)</f>
        <v>0.62993420754281337</v>
      </c>
    </row>
    <row r="2199" spans="1:4">
      <c r="A2199">
        <v>1.0496829999999999</v>
      </c>
      <c r="B2199">
        <v>4.0986029999999998</v>
      </c>
      <c r="C2199">
        <f>LOG10(1.049683)</f>
        <v>2.1058163701590214E-2</v>
      </c>
      <c r="D2199">
        <f>LOG10(4.098603)</f>
        <v>0.61263585360332873</v>
      </c>
    </row>
    <row r="2200" spans="1:4">
      <c r="A2200">
        <v>1.0400659999999999</v>
      </c>
      <c r="B2200">
        <v>4.2361170000000001</v>
      </c>
      <c r="C2200">
        <f>LOG10(1.040066)</f>
        <v>1.706089942025266E-2</v>
      </c>
      <c r="D2200">
        <f>LOG10(4.236117)</f>
        <v>0.62696794665562339</v>
      </c>
    </row>
    <row r="2201" spans="1:4">
      <c r="A2201">
        <v>1.0334129999999999</v>
      </c>
      <c r="B2201">
        <v>4.0278989999999997</v>
      </c>
      <c r="C2201">
        <f>LOG10(1.033413)</f>
        <v>1.4273920527577122E-2</v>
      </c>
      <c r="D2201">
        <f>LOG10(4.027899)</f>
        <v>0.60507857203733717</v>
      </c>
    </row>
    <row r="2202" spans="1:4">
      <c r="A2202">
        <v>1.05508</v>
      </c>
      <c r="B2202">
        <v>4.0329309999999996</v>
      </c>
      <c r="C2202">
        <f>LOG10(1.05508)</f>
        <v>2.3285390668145153E-2</v>
      </c>
      <c r="D2202">
        <f>LOG10(4.032931)</f>
        <v>0.60562079166405325</v>
      </c>
    </row>
    <row r="2203" spans="1:4">
      <c r="A2203">
        <v>1.0500339999999999</v>
      </c>
      <c r="B2203">
        <v>4.2887009999999997</v>
      </c>
      <c r="C2203">
        <f>LOG10(1.050034)</f>
        <v>2.1203361711196227E-2</v>
      </c>
      <c r="D2203">
        <f>LOG10(4.288701)</f>
        <v>0.63232576911700011</v>
      </c>
    </row>
    <row r="2204" spans="1:4">
      <c r="A2204">
        <v>1.061202</v>
      </c>
      <c r="B2204">
        <v>4.2812530000000004</v>
      </c>
      <c r="C2204">
        <f>LOG10(1.061202)</f>
        <v>2.5798059806470701E-2</v>
      </c>
      <c r="D2204">
        <f>LOG10(4.281253)</f>
        <v>0.63157089315953485</v>
      </c>
    </row>
    <row r="2205" spans="1:4">
      <c r="A2205">
        <v>1.0571029999999999</v>
      </c>
      <c r="B2205">
        <v>4.1569190000000003</v>
      </c>
      <c r="C2205">
        <f>LOG10(1.057103)</f>
        <v>2.4117305332301487E-2</v>
      </c>
      <c r="D2205">
        <f>LOG10(4.156919)</f>
        <v>0.61877156210646433</v>
      </c>
    </row>
    <row r="2206" spans="1:4">
      <c r="A2206">
        <v>1.065847</v>
      </c>
      <c r="B2206">
        <v>4.307226</v>
      </c>
      <c r="C2206">
        <f>LOG10(1.065847)</f>
        <v>2.7694867143960963E-2</v>
      </c>
      <c r="D2206">
        <f>LOG10(4.307226)</f>
        <v>0.63419765977696907</v>
      </c>
    </row>
    <row r="2207" spans="1:4">
      <c r="A2207">
        <v>1.0645629999999999</v>
      </c>
      <c r="B2207">
        <v>4.3590689999999999</v>
      </c>
      <c r="C2207">
        <f>LOG10(1.064563)</f>
        <v>2.7171367740293398E-2</v>
      </c>
      <c r="D2207">
        <f>LOG10(4.359069)</f>
        <v>0.63939374354901701</v>
      </c>
    </row>
    <row r="2208" spans="1:4">
      <c r="A2208">
        <v>1.0621929999999999</v>
      </c>
      <c r="B2208">
        <v>4.0785850000000003</v>
      </c>
      <c r="C2208">
        <f>LOG10(1.062193)</f>
        <v>2.6203435031347963E-2</v>
      </c>
      <c r="D2208">
        <f>LOG10(4.078585)</f>
        <v>0.61050951767819284</v>
      </c>
    </row>
    <row r="2209" spans="1:4">
      <c r="A2209">
        <v>1.072784</v>
      </c>
      <c r="B2209">
        <v>3.7368389999999998</v>
      </c>
      <c r="C2209">
        <f>LOG10(1.072784)</f>
        <v>3.05122876217599E-2</v>
      </c>
      <c r="D2209">
        <f>LOG10(3.736839)</f>
        <v>0.57250438687349869</v>
      </c>
    </row>
    <row r="2210" spans="1:4">
      <c r="A2210">
        <v>1.0616080000000001</v>
      </c>
      <c r="B2210">
        <v>3.8042799999999999</v>
      </c>
      <c r="C2210">
        <f>LOG10(1.061608)</f>
        <v>2.5964182598244508E-2</v>
      </c>
      <c r="D2210">
        <f>LOG10(3.80428)</f>
        <v>0.58027247408550586</v>
      </c>
    </row>
    <row r="2211" spans="1:4">
      <c r="A2211">
        <v>1.071639</v>
      </c>
      <c r="B2211">
        <v>3.5988769999999999</v>
      </c>
      <c r="C2211">
        <f>LOG10(1.071639)</f>
        <v>3.0048510438773716E-2</v>
      </c>
      <c r="D2211">
        <f>LOG10(3.598877)</f>
        <v>0.55616700388155538</v>
      </c>
    </row>
    <row r="2212" spans="1:4">
      <c r="A2212">
        <v>1.06359</v>
      </c>
      <c r="B2212">
        <v>3.780894</v>
      </c>
      <c r="C2212">
        <f>LOG10(1.06359)</f>
        <v>2.6774245390221989E-2</v>
      </c>
      <c r="D2212">
        <f>LOG10(3.780894)</f>
        <v>0.57759450178454286</v>
      </c>
    </row>
    <row r="2213" spans="1:4">
      <c r="A2213">
        <v>1.084894</v>
      </c>
      <c r="B2213">
        <v>3.7254170000000002</v>
      </c>
      <c r="C2213">
        <f>LOG10(1.084894)</f>
        <v>3.538730734219532E-2</v>
      </c>
      <c r="D2213">
        <f>LOG10(3.725417)</f>
        <v>0.57117489202737937</v>
      </c>
    </row>
    <row r="2214" spans="1:4">
      <c r="A2214">
        <v>1.080173</v>
      </c>
      <c r="B2214">
        <v>3.7212489999999998</v>
      </c>
      <c r="C2214">
        <f>LOG10(1.080173)</f>
        <v>3.3493317457708442E-2</v>
      </c>
      <c r="D2214">
        <f>LOG10(3.721249)</f>
        <v>0.57068873094815298</v>
      </c>
    </row>
    <row r="2215" spans="1:4">
      <c r="A2215">
        <v>1.0834859999999999</v>
      </c>
      <c r="B2215">
        <v>3.8364769999999999</v>
      </c>
      <c r="C2215">
        <f>LOG10(1.083486)</f>
        <v>3.4823304061902385E-2</v>
      </c>
      <c r="D2215">
        <f>LOG10(3.836477)</f>
        <v>0.58393259891286897</v>
      </c>
    </row>
    <row r="2216" spans="1:4">
      <c r="A2216">
        <v>1.085224</v>
      </c>
      <c r="B2216">
        <v>3.6636259999999998</v>
      </c>
      <c r="C2216">
        <f>LOG10(1.085224)</f>
        <v>3.5519389726777852E-2</v>
      </c>
      <c r="D2216">
        <f>LOG10(3.663626)</f>
        <v>0.56391113245581337</v>
      </c>
    </row>
    <row r="2217" spans="1:4">
      <c r="A2217">
        <v>1.0752710000000001</v>
      </c>
      <c r="B2217">
        <v>3.6762450000000002</v>
      </c>
      <c r="C2217">
        <f>LOG10(1.075271)</f>
        <v>3.1517933062968344E-2</v>
      </c>
      <c r="D2217">
        <f>LOG10(3.676245)</f>
        <v>0.5654044468387881</v>
      </c>
    </row>
    <row r="2218" spans="1:4">
      <c r="A2218">
        <v>1.0833839999999999</v>
      </c>
      <c r="B2218">
        <v>3.7125710000000001</v>
      </c>
      <c r="C2218">
        <f>LOG10(1.083384)</f>
        <v>3.4782417403093256E-2</v>
      </c>
      <c r="D2218">
        <f>LOG10(3.712571)</f>
        <v>0.5696747679450308</v>
      </c>
    </row>
    <row r="2219" spans="1:4">
      <c r="A2219">
        <v>1.09151</v>
      </c>
      <c r="B2219">
        <v>3.909456</v>
      </c>
      <c r="C2219">
        <f>LOG10(1.09151)</f>
        <v>3.80277189044569E-2</v>
      </c>
      <c r="D2219">
        <f>LOG10(3.909456)</f>
        <v>0.59211632961200655</v>
      </c>
    </row>
    <row r="2220" spans="1:4">
      <c r="A2220">
        <v>1.1097790000000001</v>
      </c>
      <c r="B2220">
        <v>3.7882120000000001</v>
      </c>
      <c r="C2220">
        <f>LOG10(1.109779)</f>
        <v>4.5236502537609483E-2</v>
      </c>
      <c r="D2220">
        <f>LOG10(3.788212)</f>
        <v>0.57843427546688608</v>
      </c>
    </row>
    <row r="2221" spans="1:4">
      <c r="A2221">
        <v>1.1026210000000001</v>
      </c>
      <c r="B2221">
        <v>3.7196829999999999</v>
      </c>
      <c r="C2221">
        <f>LOG10(1.102621)</f>
        <v>4.2426259590075989E-2</v>
      </c>
      <c r="D2221">
        <f>LOG10(3.719683)</f>
        <v>0.57050592987734583</v>
      </c>
    </row>
    <row r="2222" spans="1:4">
      <c r="A2222">
        <v>1.100587</v>
      </c>
      <c r="B2222">
        <v>3.822943</v>
      </c>
      <c r="C2222">
        <f>LOG10(1.100587)</f>
        <v>4.1624378671749979E-2</v>
      </c>
      <c r="D2222">
        <f>LOG10(3.822943)</f>
        <v>0.58239782274567886</v>
      </c>
    </row>
    <row r="2223" spans="1:4">
      <c r="A2223">
        <v>1.102017</v>
      </c>
      <c r="B2223">
        <v>3.6629149999999999</v>
      </c>
      <c r="C2223">
        <f>LOG10(1.102017)</f>
        <v>4.2188294106733568E-2</v>
      </c>
      <c r="D2223">
        <f>LOG10(3.662915)</f>
        <v>0.56382684073408473</v>
      </c>
    </row>
    <row r="2224" spans="1:4">
      <c r="A2224">
        <v>1.1085160000000001</v>
      </c>
      <c r="B2224">
        <v>3.8929369999999999</v>
      </c>
      <c r="C2224">
        <f>LOG10(1.108516)</f>
        <v>4.4741965976950265E-2</v>
      </c>
      <c r="D2224">
        <f>LOG10(3.892937)</f>
        <v>0.59027737552043558</v>
      </c>
    </row>
    <row r="2225" spans="1:4">
      <c r="A2225">
        <v>1.1190610000000001</v>
      </c>
      <c r="B2225">
        <v>3.9255629999999999</v>
      </c>
      <c r="C2225">
        <f>LOG10(1.119061)</f>
        <v>4.8853760559936038E-2</v>
      </c>
      <c r="D2225">
        <f>LOG10(3.925563)</f>
        <v>0.5939019515931061</v>
      </c>
    </row>
    <row r="2226" spans="1:4">
      <c r="A2226">
        <v>1.0416669999999999</v>
      </c>
      <c r="B2226">
        <v>2.427549</v>
      </c>
      <c r="C2226">
        <f>LOG10(1.041667)</f>
        <v>1.7728905934643518E-2</v>
      </c>
      <c r="D2226">
        <f>LOG10(2.427549)</f>
        <v>0.38516800488893616</v>
      </c>
    </row>
    <row r="2227" spans="1:4">
      <c r="A2227">
        <v>1.0153639999999999</v>
      </c>
      <c r="B2227">
        <v>4.2810769999999998</v>
      </c>
      <c r="C2227">
        <f>LOG10(1.015364)</f>
        <v>6.6217613154744143E-3</v>
      </c>
      <c r="D2227">
        <f>LOG10(4.281077)</f>
        <v>0.63155303918081029</v>
      </c>
    </row>
    <row r="2228" spans="1:4">
      <c r="A2228">
        <v>1.021774</v>
      </c>
      <c r="B2228">
        <v>4.1994059999999998</v>
      </c>
      <c r="C2228">
        <f>LOG10(1.021774)</f>
        <v>9.3548474554718195E-3</v>
      </c>
      <c r="D2228">
        <f>LOG10(4.199406)</f>
        <v>0.62318786440594798</v>
      </c>
    </row>
    <row r="2229" spans="1:4">
      <c r="A2229">
        <v>1.023547</v>
      </c>
      <c r="B2229">
        <v>3.9116200000000001</v>
      </c>
      <c r="C2229">
        <f>LOG10(1.023547)</f>
        <v>1.0107789716647728E-2</v>
      </c>
      <c r="D2229">
        <f>LOG10(3.91162)</f>
        <v>0.59235665799721116</v>
      </c>
    </row>
    <row r="2230" spans="1:4">
      <c r="A2230">
        <v>1.0195399999999999</v>
      </c>
      <c r="B2230">
        <v>4.3539899999999996</v>
      </c>
      <c r="C2230">
        <f>LOG10(1.01954)</f>
        <v>8.4042692887491138E-3</v>
      </c>
      <c r="D2230">
        <f>LOG10(4.35399)</f>
        <v>0.63888742724301617</v>
      </c>
    </row>
    <row r="2231" spans="1:4">
      <c r="A2231">
        <v>1.0134399999999999</v>
      </c>
      <c r="B2231">
        <v>4.6542310000000002</v>
      </c>
      <c r="C2231">
        <f>LOG10(1.01344)</f>
        <v>5.7980416918178776E-3</v>
      </c>
      <c r="D2231">
        <f>LOG10(4.654231)</f>
        <v>0.66784793450199476</v>
      </c>
    </row>
    <row r="2232" spans="1:4">
      <c r="A2232">
        <v>1.0197909999999999</v>
      </c>
      <c r="B2232">
        <v>4.6524330000000003</v>
      </c>
      <c r="C2232">
        <f>LOG10(1.019791)</f>
        <v>8.511174852885741E-3</v>
      </c>
      <c r="D2232">
        <f>LOG10(4.652433)</f>
        <v>0.66768012754384587</v>
      </c>
    </row>
    <row r="2233" spans="1:4">
      <c r="A2233">
        <v>1.0178400000000001</v>
      </c>
      <c r="B2233">
        <v>4.5868719999999996</v>
      </c>
      <c r="C2233">
        <f>LOG10(1.01784)</f>
        <v>7.6795141713156727E-3</v>
      </c>
      <c r="D2233">
        <f>LOG10(4.586872)</f>
        <v>0.66151662099762198</v>
      </c>
    </row>
    <row r="2234" spans="1:4">
      <c r="A2234">
        <v>1.016135</v>
      </c>
      <c r="B2234">
        <v>4.45634</v>
      </c>
      <c r="C2234">
        <f>LOG10(1.016135)</f>
        <v>6.9514105662237344E-3</v>
      </c>
      <c r="D2234">
        <f>LOG10(4.45634)</f>
        <v>0.64897831827222108</v>
      </c>
    </row>
    <row r="2235" spans="1:4">
      <c r="A2235">
        <v>1.0176210000000001</v>
      </c>
      <c r="B2235">
        <v>4.4642109999999997</v>
      </c>
      <c r="C2235">
        <f>LOG10(1.017621)</f>
        <v>7.5860606569483598E-3</v>
      </c>
      <c r="D2235">
        <f>LOG10(4.464211)</f>
        <v>0.64974471325256578</v>
      </c>
    </row>
    <row r="2236" spans="1:4">
      <c r="A2236">
        <v>1.0245949999999999</v>
      </c>
      <c r="B2236">
        <v>4.1017289999999997</v>
      </c>
      <c r="C2236">
        <f>LOG10(1.024595)</f>
        <v>1.0552232198425058E-2</v>
      </c>
      <c r="D2236">
        <f>LOG10(4.101729)</f>
        <v>0.61296696327454459</v>
      </c>
    </row>
    <row r="2237" spans="1:4">
      <c r="A2237">
        <v>1.015007</v>
      </c>
      <c r="B2237">
        <v>4.1920380000000002</v>
      </c>
      <c r="C2237">
        <f>LOG10(1.015007)</f>
        <v>6.4690373732616711E-3</v>
      </c>
      <c r="D2237">
        <f>LOG10(4.192038)</f>
        <v>0.62242521078757695</v>
      </c>
    </row>
    <row r="2238" spans="1:4">
      <c r="A2238">
        <v>1.014229</v>
      </c>
      <c r="B2238">
        <v>4.3744940000000003</v>
      </c>
      <c r="C2238">
        <f>LOG10(1.014229)</f>
        <v>6.1360242358286712E-3</v>
      </c>
      <c r="D2238">
        <f>LOG10(4.374494)</f>
        <v>0.64092782519448621</v>
      </c>
    </row>
    <row r="2239" spans="1:4">
      <c r="A2239">
        <v>1.01617</v>
      </c>
      <c r="B2239">
        <v>4.1519839999999997</v>
      </c>
      <c r="C2239">
        <f>LOG10(1.01617)</f>
        <v>6.9663692529052306E-3</v>
      </c>
      <c r="D2239">
        <f>LOG10(4.151984)</f>
        <v>0.6182556712553583</v>
      </c>
    </row>
    <row r="2240" spans="1:4">
      <c r="A2240">
        <v>1.016089</v>
      </c>
      <c r="B2240">
        <v>3.863944</v>
      </c>
      <c r="C2240">
        <f>LOG10(1.016089)</f>
        <v>6.9317497944082675E-3</v>
      </c>
      <c r="D2240">
        <f>LOG10(3.863944)</f>
        <v>0.58703082357491954</v>
      </c>
    </row>
    <row r="2241" spans="1:4">
      <c r="A2241">
        <v>1.0163279999999999</v>
      </c>
      <c r="B2241">
        <v>3.7577889999999998</v>
      </c>
      <c r="C2241">
        <f>LOG10(1.016328)</f>
        <v>7.0338906263864177E-3</v>
      </c>
      <c r="D2241">
        <f>LOG10(3.757789)</f>
        <v>0.57493239079688574</v>
      </c>
    </row>
    <row r="2242" spans="1:4">
      <c r="A2242">
        <v>1.023954</v>
      </c>
      <c r="B2242">
        <v>3.8113450000000002</v>
      </c>
      <c r="C2242">
        <f>LOG10(1.023954)</f>
        <v>1.0280446879171921E-2</v>
      </c>
      <c r="D2242">
        <f>LOG10(3.811345)</f>
        <v>0.58107826255194472</v>
      </c>
    </row>
    <row r="2243" spans="1:4">
      <c r="A2243">
        <v>1.053183</v>
      </c>
      <c r="B2243">
        <v>4.168857</v>
      </c>
      <c r="C2243">
        <f>LOG10(1.053183)</f>
        <v>2.2503840307009467E-2</v>
      </c>
      <c r="D2243">
        <f>LOG10(4.168857)</f>
        <v>0.62001699822631018</v>
      </c>
    </row>
    <row r="2244" spans="1:4">
      <c r="A2244">
        <v>1.0535099999999999</v>
      </c>
      <c r="B2244">
        <v>4.3391500000000001</v>
      </c>
      <c r="C2244">
        <f>LOG10(1.05351)</f>
        <v>2.2638662321154739E-2</v>
      </c>
      <c r="D2244">
        <f>LOG10(4.33915)</f>
        <v>0.63740466350701519</v>
      </c>
    </row>
    <row r="2245" spans="1:4">
      <c r="A2245">
        <v>1.0439499999999999</v>
      </c>
      <c r="B2245">
        <v>4.3606109999999996</v>
      </c>
      <c r="C2245">
        <f>LOG10(1.04395)</f>
        <v>1.8679698624001592E-2</v>
      </c>
      <c r="D2245">
        <f>LOG10(4.360611)</f>
        <v>0.63954734599728935</v>
      </c>
    </row>
    <row r="2246" spans="1:4">
      <c r="A2246">
        <v>1.022912</v>
      </c>
      <c r="B2246">
        <v>4.3308999999999997</v>
      </c>
      <c r="C2246">
        <f>LOG10(1.022912)</f>
        <v>9.8382734401337591E-3</v>
      </c>
      <c r="D2246">
        <f>LOG10(4.3309)</f>
        <v>0.63657815603425771</v>
      </c>
    </row>
    <row r="2247" spans="1:4">
      <c r="A2247">
        <v>1.0179210000000001</v>
      </c>
      <c r="B2247">
        <v>4.3251059999999999</v>
      </c>
      <c r="C2247">
        <f>LOG10(1.017921)</f>
        <v>7.7140740759928193E-3</v>
      </c>
      <c r="D2247">
        <f>LOG10(4.325106)</f>
        <v>0.63599675565076597</v>
      </c>
    </row>
    <row r="2248" spans="1:4">
      <c r="A2248">
        <v>1.017876</v>
      </c>
      <c r="B2248">
        <v>4.1428560000000001</v>
      </c>
      <c r="C2248">
        <f>LOG10(1.017876)</f>
        <v>7.6948744684790437E-3</v>
      </c>
      <c r="D2248">
        <f>LOG10(4.142856)</f>
        <v>0.61729983807930844</v>
      </c>
    </row>
    <row r="2249" spans="1:4">
      <c r="A2249">
        <v>1.0222359999999999</v>
      </c>
      <c r="B2249">
        <v>4.2923660000000003</v>
      </c>
      <c r="C2249">
        <f>LOG10(1.022236)</f>
        <v>9.5511714011042893E-3</v>
      </c>
      <c r="D2249">
        <f>LOG10(4.292366)</f>
        <v>0.63269674614653715</v>
      </c>
    </row>
    <row r="2250" spans="1:4">
      <c r="A2250">
        <v>1.019754</v>
      </c>
      <c r="B2250">
        <v>4.0806290000000001</v>
      </c>
      <c r="C2250">
        <f>LOG10(1.019754)</f>
        <v>8.495417518939086E-3</v>
      </c>
      <c r="D2250">
        <f>LOG10(4.080629)</f>
        <v>0.61072711166202021</v>
      </c>
    </row>
    <row r="2251" spans="1:4">
      <c r="A2251">
        <v>1.02468</v>
      </c>
      <c r="B2251">
        <v>4.07782</v>
      </c>
      <c r="C2251">
        <f>LOG10(1.02468)</f>
        <v>1.0588259604198314E-2</v>
      </c>
      <c r="D2251">
        <f>LOG10(4.07782)</f>
        <v>0.61042805157158575</v>
      </c>
    </row>
    <row r="2252" spans="1:4">
      <c r="A2252">
        <v>1.034106</v>
      </c>
      <c r="B2252">
        <v>4.3243220000000004</v>
      </c>
      <c r="C2252">
        <f>LOG10(1.034106)</f>
        <v>1.4565057960635789E-2</v>
      </c>
      <c r="D2252">
        <f>LOG10(4.324322)</f>
        <v>0.63591802515558304</v>
      </c>
    </row>
    <row r="2253" spans="1:4">
      <c r="A2253">
        <v>1.0542720000000001</v>
      </c>
      <c r="B2253">
        <v>4.303077</v>
      </c>
      <c r="C2253">
        <f>LOG10(1.054272)</f>
        <v>2.2952672412926468E-2</v>
      </c>
      <c r="D2253">
        <f>LOG10(4.303077)</f>
        <v>0.63377911749224836</v>
      </c>
    </row>
    <row r="2254" spans="1:4">
      <c r="A2254">
        <v>1.041288</v>
      </c>
      <c r="B2254">
        <v>4.2593059999999996</v>
      </c>
      <c r="C2254">
        <f>LOG10(1.041288)</f>
        <v>1.7570863528103067E-2</v>
      </c>
      <c r="D2254">
        <f>LOG10(4.259306)</f>
        <v>0.62933884207835389</v>
      </c>
    </row>
    <row r="2255" spans="1:4">
      <c r="A2255">
        <v>1.040624</v>
      </c>
      <c r="B2255">
        <v>4.362832</v>
      </c>
      <c r="C2255">
        <f>LOG10(1.040624)</f>
        <v>1.7293837846170699E-2</v>
      </c>
      <c r="D2255">
        <f>LOG10(4.362832)</f>
        <v>0.63976848988855994</v>
      </c>
    </row>
    <row r="2256" spans="1:4">
      <c r="A2256">
        <v>1.031212</v>
      </c>
      <c r="B2256">
        <v>4.4668780000000003</v>
      </c>
      <c r="C2256">
        <f>LOG10(1.031212)</f>
        <v>1.3347958169493197E-2</v>
      </c>
      <c r="D2256">
        <f>LOG10(4.466878)</f>
        <v>0.65000409112186375</v>
      </c>
    </row>
    <row r="2257" spans="1:4">
      <c r="A2257">
        <v>1.0232509999999999</v>
      </c>
      <c r="B2257">
        <v>4.2039280000000003</v>
      </c>
      <c r="C2257">
        <f>LOG10(1.023251)</f>
        <v>9.9821777436640141E-3</v>
      </c>
      <c r="D2257">
        <f>LOG10(4.203928)</f>
        <v>0.62365526932802506</v>
      </c>
    </row>
    <row r="2258" spans="1:4">
      <c r="A2258">
        <v>1.029412</v>
      </c>
      <c r="B2258">
        <v>3.7654640000000001</v>
      </c>
      <c r="C2258">
        <f>LOG10(1.029412)</f>
        <v>1.2589226575319313E-2</v>
      </c>
      <c r="D2258">
        <f>LOG10(3.765464)</f>
        <v>0.57581849985235734</v>
      </c>
    </row>
    <row r="2259" spans="1:4">
      <c r="A2259">
        <v>1.023517</v>
      </c>
      <c r="B2259">
        <v>3.8528210000000001</v>
      </c>
      <c r="C2259">
        <f>LOG10(1.023517)</f>
        <v>1.0095060427814532E-2</v>
      </c>
      <c r="D2259">
        <f>LOG10(3.852821)</f>
        <v>0.58577883239268369</v>
      </c>
    </row>
    <row r="2260" spans="1:4">
      <c r="A2260">
        <v>1.0235099999999999</v>
      </c>
      <c r="B2260">
        <v>3.6366160000000001</v>
      </c>
      <c r="C2260">
        <f>LOG10(1.02351)</f>
        <v>1.0092090206734523E-2</v>
      </c>
      <c r="D2260">
        <f>LOG10(3.636616)</f>
        <v>0.56069744516097053</v>
      </c>
    </row>
    <row r="2261" spans="1:4">
      <c r="A2261">
        <v>1.0218849999999999</v>
      </c>
      <c r="B2261">
        <v>3.8015750000000001</v>
      </c>
      <c r="C2261">
        <f>LOG10(1.021885)</f>
        <v>9.4020242961665272E-3</v>
      </c>
      <c r="D2261">
        <f>LOG10(3.801575)</f>
        <v>0.57996356295767659</v>
      </c>
    </row>
    <row r="2262" spans="1:4">
      <c r="A2262">
        <v>1.0179309999999999</v>
      </c>
      <c r="B2262">
        <v>3.7683949999999999</v>
      </c>
      <c r="C2262">
        <f>LOG10(1.017931)</f>
        <v>7.7183405401748907E-3</v>
      </c>
      <c r="D2262">
        <f>LOG10(3.768395)</f>
        <v>0.57615641888978009</v>
      </c>
    </row>
    <row r="2263" spans="1:4">
      <c r="A2263">
        <v>1.0197579999999999</v>
      </c>
      <c r="B2263">
        <v>3.8197610000000002</v>
      </c>
      <c r="C2263">
        <f>LOG10(1.019758)</f>
        <v>8.4971210420638019E-3</v>
      </c>
      <c r="D2263">
        <f>LOG10(3.819761)</f>
        <v>0.58203619023413189</v>
      </c>
    </row>
    <row r="2264" spans="1:4">
      <c r="A2264">
        <v>1.025749</v>
      </c>
      <c r="B2264">
        <v>4.1059700000000001</v>
      </c>
      <c r="C2264">
        <f>LOG10(1.025749)</f>
        <v>1.1041102246609442E-2</v>
      </c>
      <c r="D2264">
        <f>LOG10(4.10597)</f>
        <v>0.61341577190207086</v>
      </c>
    </row>
    <row r="2265" spans="1:4">
      <c r="A2265">
        <v>1.0449759999999999</v>
      </c>
      <c r="B2265">
        <v>3.9701900000000001</v>
      </c>
      <c r="C2265">
        <f>LOG10(1.044976)</f>
        <v>1.9106316105198855E-2</v>
      </c>
      <c r="D2265">
        <f>LOG10(3.97019)</f>
        <v>0.5988112911402087</v>
      </c>
    </row>
    <row r="2266" spans="1:4">
      <c r="A2266">
        <v>1.0378160000000001</v>
      </c>
      <c r="B2266">
        <v>3.91852</v>
      </c>
      <c r="C2266">
        <f>LOG10(1.037816)</f>
        <v>1.6120361924668789E-2</v>
      </c>
      <c r="D2266">
        <f>LOG10(3.91852)</f>
        <v>0.5931220677346597</v>
      </c>
    </row>
    <row r="2267" spans="1:4">
      <c r="A2267">
        <v>1.0242370000000001</v>
      </c>
      <c r="B2267">
        <v>3.965589</v>
      </c>
      <c r="C2267">
        <f>LOG10(1.024237)</f>
        <v>1.0400460431775923E-2</v>
      </c>
      <c r="D2267">
        <f>LOG10(3.965589)</f>
        <v>0.59830770122543664</v>
      </c>
    </row>
    <row r="2268" spans="1:4">
      <c r="A2268">
        <v>1.0216289999999999</v>
      </c>
      <c r="B2268">
        <v>4.1742100000000004</v>
      </c>
      <c r="C2268">
        <f>LOG10(1.021629)</f>
        <v>9.2932123301620352E-3</v>
      </c>
      <c r="D2268">
        <f>LOG10(4.17421)</f>
        <v>0.62057429416571419</v>
      </c>
    </row>
    <row r="2269" spans="1:4">
      <c r="A2269">
        <v>1.019444</v>
      </c>
      <c r="B2269">
        <v>4.1378310000000003</v>
      </c>
      <c r="C2269">
        <f>LOG10(1.019444)</f>
        <v>8.3633741465670621E-3</v>
      </c>
      <c r="D2269">
        <f>LOG10(4.137831)</f>
        <v>0.61677274895265921</v>
      </c>
    </row>
    <row r="2270" spans="1:4">
      <c r="A2270">
        <v>1.0241089999999999</v>
      </c>
      <c r="B2270">
        <v>4.0581269999999998</v>
      </c>
      <c r="C2270">
        <f>LOG10(1.024109)</f>
        <v>1.0346182791420211E-2</v>
      </c>
      <c r="D2270">
        <f>LOG10(4.058127)</f>
        <v>0.60832563425379393</v>
      </c>
    </row>
    <row r="2271" spans="1:4">
      <c r="A2271">
        <v>1.029053</v>
      </c>
      <c r="B2271">
        <v>4.0324759999999999</v>
      </c>
      <c r="C2271">
        <f>LOG10(1.029053)</f>
        <v>1.2437743095557448E-2</v>
      </c>
      <c r="D2271">
        <f>LOG10(4.032476)</f>
        <v>0.60557179128763694</v>
      </c>
    </row>
    <row r="2272" spans="1:4">
      <c r="A2272">
        <v>1.0330889999999999</v>
      </c>
      <c r="B2272">
        <v>3.9884080000000002</v>
      </c>
      <c r="C2272">
        <f>LOG10(1.033089)</f>
        <v>1.4137737341410699E-2</v>
      </c>
      <c r="D2272">
        <f>LOG10(3.988408)</f>
        <v>0.60079957869810441</v>
      </c>
    </row>
    <row r="2273" spans="1:4">
      <c r="A2273">
        <v>1.0216559999999999</v>
      </c>
      <c r="B2273">
        <v>4.1223590000000003</v>
      </c>
      <c r="C2273">
        <f>LOG10(1.021656)</f>
        <v>9.304689878337713E-3</v>
      </c>
      <c r="D2273">
        <f>LOG10(4.122359)</f>
        <v>0.61514581008510039</v>
      </c>
    </row>
    <row r="2274" spans="1:4">
      <c r="A2274">
        <v>1.1317710000000001</v>
      </c>
      <c r="B2274">
        <v>4.0356779999999999</v>
      </c>
      <c r="C2274">
        <f>LOG10(1.131771)</f>
        <v>5.3758561571979092E-2</v>
      </c>
      <c r="D2274">
        <f>LOG10(4.035678)</f>
        <v>0.60591650731662294</v>
      </c>
    </row>
    <row r="2275" spans="1:4">
      <c r="A2275">
        <v>1.122015</v>
      </c>
      <c r="B2275">
        <v>3.7359810000000002</v>
      </c>
      <c r="C2275">
        <f>LOG10(1.122015)</f>
        <v>4.9998662957293549E-2</v>
      </c>
      <c r="D2275">
        <f>LOG10(3.735981)</f>
        <v>0.57240465888135916</v>
      </c>
    </row>
    <row r="2276" spans="1:4">
      <c r="A2276">
        <v>1.117639</v>
      </c>
      <c r="B2276">
        <v>3.8175590000000001</v>
      </c>
      <c r="C2276">
        <f>LOG10(1.117639)</f>
        <v>4.8301548071474583E-2</v>
      </c>
      <c r="D2276">
        <f>LOG10(3.817559)</f>
        <v>0.58178575775895724</v>
      </c>
    </row>
    <row r="2277" spans="1:4">
      <c r="A2277">
        <v>1.1145890000000001</v>
      </c>
      <c r="B2277">
        <v>4.0547529999999998</v>
      </c>
      <c r="C2277">
        <f>LOG10(1.114589)</f>
        <v>4.7114752641880323E-2</v>
      </c>
      <c r="D2277">
        <f>LOG10(4.054753)</f>
        <v>0.60796440379890737</v>
      </c>
    </row>
    <row r="2278" spans="1:4">
      <c r="A2278">
        <v>1.106428</v>
      </c>
      <c r="B2278">
        <v>4.0696880000000002</v>
      </c>
      <c r="C2278">
        <f>LOG10(1.106428)</f>
        <v>4.3923157784211839E-2</v>
      </c>
      <c r="D2278">
        <f>LOG10(4.069688)</f>
        <v>0.60956111559568038</v>
      </c>
    </row>
    <row r="2279" spans="1:4">
      <c r="A2279">
        <v>1.1051249999999999</v>
      </c>
      <c r="B2279">
        <v>3.9499249999999999</v>
      </c>
      <c r="C2279">
        <f>LOG10(1.105125)</f>
        <v>4.3411403577643955E-2</v>
      </c>
      <c r="D2279">
        <f>LOG10(3.949925)</f>
        <v>0.59658884945041579</v>
      </c>
    </row>
    <row r="2280" spans="1:4">
      <c r="A2280">
        <v>1.0594650000000001</v>
      </c>
      <c r="B2280">
        <v>4.2072039999999999</v>
      </c>
      <c r="C2280">
        <f>LOG10(1.059465)</f>
        <v>2.5086614130400933E-2</v>
      </c>
      <c r="D2280">
        <f>LOG10(4.207204)</f>
        <v>0.62399357071115813</v>
      </c>
    </row>
    <row r="2281" spans="1:4">
      <c r="A2281">
        <v>1.104481</v>
      </c>
      <c r="B2281">
        <v>4.0618239999999997</v>
      </c>
      <c r="C2281">
        <f>LOG10(1.104481)</f>
        <v>4.3158249255773891E-2</v>
      </c>
      <c r="D2281">
        <f>LOG10(4.061824)</f>
        <v>0.60872110137189372</v>
      </c>
    </row>
    <row r="2282" spans="1:4">
      <c r="A2282">
        <v>1.1035969999999999</v>
      </c>
      <c r="B2282">
        <v>4.1013840000000004</v>
      </c>
      <c r="C2282">
        <f>LOG10(1.103597)</f>
        <v>4.2810511229749701E-2</v>
      </c>
      <c r="D2282">
        <f>LOG10(4.101384)</f>
        <v>0.61293043285094939</v>
      </c>
    </row>
    <row r="2283" spans="1:4">
      <c r="A2283">
        <v>1.1013580000000001</v>
      </c>
      <c r="B2283">
        <v>3.9315790000000002</v>
      </c>
      <c r="C2283">
        <f>LOG10(1.101358)</f>
        <v>4.1928510754278329E-2</v>
      </c>
      <c r="D2283">
        <f>LOG10(3.931579)</f>
        <v>0.59456700667641826</v>
      </c>
    </row>
    <row r="2284" spans="1:4">
      <c r="A2284">
        <v>1.1097509999999999</v>
      </c>
      <c r="B2284">
        <v>3.8299189999999999</v>
      </c>
      <c r="C2284">
        <f>LOG10(1.109751)</f>
        <v>4.5225545041658544E-2</v>
      </c>
      <c r="D2284">
        <f>LOG10(3.829919)</f>
        <v>0.58318958905347273</v>
      </c>
    </row>
    <row r="2285" spans="1:4">
      <c r="A2285">
        <v>1.113059</v>
      </c>
      <c r="B2285">
        <v>3.6117650000000001</v>
      </c>
      <c r="C2285">
        <f>LOG10(1.113059)</f>
        <v>4.6518185624295251E-2</v>
      </c>
      <c r="D2285">
        <f>LOG10(3.611765)</f>
        <v>0.55771948512889247</v>
      </c>
    </row>
    <row r="2286" spans="1:4">
      <c r="A2286">
        <v>1.0963210000000001</v>
      </c>
      <c r="B2286">
        <v>3.7724510000000002</v>
      </c>
      <c r="C2286">
        <f>LOG10(1.096321)</f>
        <v>3.9937733087645505E-2</v>
      </c>
      <c r="D2286">
        <f>LOG10(3.772451)</f>
        <v>0.57662360747537633</v>
      </c>
    </row>
    <row r="2287" spans="1:4">
      <c r="A2287">
        <v>1.08589</v>
      </c>
      <c r="B2287">
        <v>3.665168</v>
      </c>
      <c r="C2287">
        <f>LOG10(1.08589)</f>
        <v>3.5785833712694712E-2</v>
      </c>
      <c r="D2287">
        <f>LOG10(3.665168)</f>
        <v>0.56409388615334588</v>
      </c>
    </row>
    <row r="2288" spans="1:4">
      <c r="A2288">
        <v>1.073442</v>
      </c>
      <c r="B2288">
        <v>3.5370279999999998</v>
      </c>
      <c r="C2288">
        <f>LOG10(1.073442)</f>
        <v>3.0778583695002696E-2</v>
      </c>
      <c r="D2288">
        <f>LOG10(3.537028)</f>
        <v>0.54863849781230922</v>
      </c>
    </row>
    <row r="2289" spans="1:4">
      <c r="A2289">
        <v>1.0658160000000001</v>
      </c>
      <c r="B2289">
        <v>3.6246149999999999</v>
      </c>
      <c r="C2289">
        <f>LOG10(1.065816)</f>
        <v>2.7682235570452483E-2</v>
      </c>
      <c r="D2289">
        <f>LOG10(3.624615)</f>
        <v>0.55926188338832639</v>
      </c>
    </row>
    <row r="2290" spans="1:4">
      <c r="A2290">
        <v>1.0707979999999999</v>
      </c>
      <c r="B2290">
        <v>3.9319380000000002</v>
      </c>
      <c r="C2290">
        <f>LOG10(1.070798)</f>
        <v>2.9707551355224685E-2</v>
      </c>
      <c r="D2290">
        <f>LOG10(3.931938)</f>
        <v>0.59460666112597604</v>
      </c>
    </row>
    <row r="2291" spans="1:4">
      <c r="A2291">
        <v>1.0794859999999999</v>
      </c>
      <c r="B2291">
        <v>4.0961410000000003</v>
      </c>
      <c r="C2291">
        <f>LOG10(1.079486)</f>
        <v>3.3217014282872603E-2</v>
      </c>
      <c r="D2291">
        <f>LOG10(4.096141)</f>
        <v>0.61237489778906151</v>
      </c>
    </row>
    <row r="2292" spans="1:4">
      <c r="A2292">
        <v>1.064991</v>
      </c>
      <c r="B2292">
        <v>4.2223699999999997</v>
      </c>
      <c r="C2292">
        <f>LOG10(1.064991)</f>
        <v>2.7345937665035742E-2</v>
      </c>
      <c r="D2292">
        <f>LOG10(4.22237)</f>
        <v>0.62555628721835266</v>
      </c>
    </row>
    <row r="2293" spans="1:4">
      <c r="A2293">
        <v>1.0407770000000001</v>
      </c>
      <c r="B2293">
        <v>4.2494249999999996</v>
      </c>
      <c r="C2293">
        <f>LOG10(1.040777)</f>
        <v>1.7357686240450233E-2</v>
      </c>
      <c r="D2293">
        <f>LOG10(4.249425)</f>
        <v>0.62833016858645352</v>
      </c>
    </row>
    <row r="2294" spans="1:4">
      <c r="A2294">
        <v>1.0458780000000001</v>
      </c>
      <c r="B2294">
        <v>4.1351769999999997</v>
      </c>
      <c r="C2294">
        <f>LOG10(1.045878)</f>
        <v>1.9481027727319227E-2</v>
      </c>
      <c r="D2294">
        <f>LOG10(4.135177)</f>
        <v>0.61649410360515999</v>
      </c>
    </row>
    <row r="2295" spans="1:4">
      <c r="A2295">
        <v>1.031833</v>
      </c>
      <c r="B2295">
        <v>4.0689590000000004</v>
      </c>
      <c r="C2295">
        <f>LOG10(1.031833)</f>
        <v>1.360941333058514E-2</v>
      </c>
      <c r="D2295">
        <f>LOG10(4.068959)</f>
        <v>0.60948331379934884</v>
      </c>
    </row>
    <row r="2296" spans="1:4">
      <c r="A2296">
        <v>1.035946</v>
      </c>
      <c r="B2296">
        <v>4.2026589999999997</v>
      </c>
      <c r="C2296">
        <f>LOG10(1.035946)</f>
        <v>1.5337117848169605E-2</v>
      </c>
      <c r="D2296">
        <f>LOG10(4.202659)</f>
        <v>0.62352415316834664</v>
      </c>
    </row>
    <row r="2297" spans="1:4">
      <c r="A2297">
        <v>1.055142</v>
      </c>
      <c r="B2297">
        <v>3.9287550000000002</v>
      </c>
      <c r="C2297">
        <f>LOG10(1.055142)</f>
        <v>2.3310910502442921E-2</v>
      </c>
      <c r="D2297">
        <f>LOG10(3.928755)</f>
        <v>0.59425494673859292</v>
      </c>
    </row>
    <row r="2298" spans="1:4">
      <c r="A2298">
        <v>1.0456190000000001</v>
      </c>
      <c r="B2298">
        <v>4.0858030000000003</v>
      </c>
      <c r="C2298">
        <f>LOG10(1.045619)</f>
        <v>1.9373466232956178E-2</v>
      </c>
      <c r="D2298">
        <f>LOG10(4.085803)</f>
        <v>0.61127742297301357</v>
      </c>
    </row>
    <row r="2299" spans="1:4">
      <c r="A2299">
        <v>1.0432239999999999</v>
      </c>
      <c r="B2299">
        <v>4.1369470000000002</v>
      </c>
      <c r="C2299">
        <f>LOG10(1.043224)</f>
        <v>1.8377569710381632E-2</v>
      </c>
      <c r="D2299">
        <f>LOG10(4.136947)</f>
        <v>0.61667995701951905</v>
      </c>
    </row>
    <row r="2300" spans="1:4">
      <c r="A2300">
        <v>1.057456</v>
      </c>
      <c r="B2300">
        <v>4.3405300000000002</v>
      </c>
      <c r="C2300">
        <f>LOG10(1.057456)</f>
        <v>2.426230573525642E-2</v>
      </c>
      <c r="D2300">
        <f>LOG10(4.34053)</f>
        <v>0.6375427622364791</v>
      </c>
    </row>
    <row r="2301" spans="1:4">
      <c r="A2301">
        <v>1.0593159999999999</v>
      </c>
      <c r="B2301">
        <v>4.2358339999999997</v>
      </c>
      <c r="C2301">
        <f>LOG10(1.059316)</f>
        <v>2.5025531953516835E-2</v>
      </c>
      <c r="D2301">
        <f>LOG10(4.235834)</f>
        <v>0.62693893200753947</v>
      </c>
    </row>
    <row r="2302" spans="1:4">
      <c r="A2302">
        <v>1.059833</v>
      </c>
      <c r="B2302">
        <v>4.1676960000000003</v>
      </c>
      <c r="C2302">
        <f>LOG10(1.059833)</f>
        <v>2.523743800787984E-2</v>
      </c>
      <c r="D2302">
        <f>LOG10(4.167696)</f>
        <v>0.61989603314715835</v>
      </c>
    </row>
    <row r="2303" spans="1:4">
      <c r="A2303">
        <v>1.0641700000000001</v>
      </c>
      <c r="B2303">
        <v>4.226369</v>
      </c>
      <c r="C2303">
        <f>LOG10(1.06417)</f>
        <v>2.7011011572256341E-2</v>
      </c>
      <c r="D2303">
        <f>LOG10(4.226369)</f>
        <v>0.6259674121833515</v>
      </c>
    </row>
    <row r="2304" spans="1:4">
      <c r="A2304">
        <v>1.0784180000000001</v>
      </c>
      <c r="B2304">
        <v>3.8654389999999998</v>
      </c>
      <c r="C2304">
        <f>LOG10(1.078418)</f>
        <v>3.2787128111343086E-2</v>
      </c>
      <c r="D2304">
        <f>LOG10(3.865439)</f>
        <v>0.58719882411481827</v>
      </c>
    </row>
    <row r="2305" spans="1:4">
      <c r="A2305">
        <v>1.0577030000000001</v>
      </c>
      <c r="B2305">
        <v>3.801971</v>
      </c>
      <c r="C2305">
        <f>LOG10(1.057703)</f>
        <v>2.4363736159652653E-2</v>
      </c>
      <c r="D2305">
        <f>LOG10(3.801971)</f>
        <v>0.58000879990764409</v>
      </c>
    </row>
    <row r="2306" spans="1:4">
      <c r="A2306">
        <v>1.070524</v>
      </c>
      <c r="B2306">
        <v>3.6039430000000001</v>
      </c>
      <c r="C2306">
        <f>LOG10(1.070524)</f>
        <v>2.9596408156125346E-2</v>
      </c>
      <c r="D2306">
        <f>LOG10(3.603943)</f>
        <v>0.55677791355529715</v>
      </c>
    </row>
    <row r="2307" spans="1:4">
      <c r="A2307">
        <v>1.0638399999999999</v>
      </c>
      <c r="B2307">
        <v>3.67326</v>
      </c>
      <c r="C2307">
        <f>LOG10(1.06384)</f>
        <v>2.6876315607315408E-2</v>
      </c>
      <c r="D2307">
        <f>LOG10(3.67326)</f>
        <v>0.56505166958378572</v>
      </c>
    </row>
    <row r="2308" spans="1:4">
      <c r="A2308">
        <v>1.0670900000000001</v>
      </c>
      <c r="B2308">
        <v>3.572311</v>
      </c>
      <c r="C2308">
        <f>LOG10(1.06709)</f>
        <v>2.8201050028984702E-2</v>
      </c>
      <c r="D2308">
        <f>LOG10(3.572311)</f>
        <v>0.55294926088403362</v>
      </c>
    </row>
    <row r="2309" spans="1:4">
      <c r="A2309">
        <v>1.0657650000000001</v>
      </c>
      <c r="B2309">
        <v>3.6631830000000001</v>
      </c>
      <c r="C2309">
        <f>LOG10(1.065765)</f>
        <v>2.7661453795252477E-2</v>
      </c>
      <c r="D2309">
        <f>LOG10(3.663183)</f>
        <v>0.56385861506230206</v>
      </c>
    </row>
    <row r="2310" spans="1:4">
      <c r="A2310">
        <v>1.065544</v>
      </c>
      <c r="B2310">
        <v>3.6068210000000001</v>
      </c>
      <c r="C2310">
        <f>LOG10(1.065544)</f>
        <v>2.7571387942910447E-2</v>
      </c>
      <c r="D2310">
        <f>LOG10(3.606821)</f>
        <v>0.55712458960385114</v>
      </c>
    </row>
    <row r="2311" spans="1:4">
      <c r="A2311">
        <v>1.0860399999999999</v>
      </c>
      <c r="B2311">
        <v>3.5464660000000001</v>
      </c>
      <c r="C2311">
        <f>LOG10(1.08604)</f>
        <v>3.5845821071761541E-2</v>
      </c>
      <c r="D2311">
        <f>LOG10(3.546466)</f>
        <v>0.54979580061957989</v>
      </c>
    </row>
    <row r="2312" spans="1:4">
      <c r="A2312">
        <v>1.060859</v>
      </c>
      <c r="B2312">
        <v>3.6716790000000001</v>
      </c>
      <c r="C2312">
        <f>LOG10(1.060859)</f>
        <v>2.5657665153734445E-2</v>
      </c>
      <c r="D2312">
        <f>LOG10(3.671679)</f>
        <v>0.56486470558408652</v>
      </c>
    </row>
    <row r="2313" spans="1:4">
      <c r="A2313">
        <v>1.0686279999999999</v>
      </c>
      <c r="B2313">
        <v>3.5771600000000001</v>
      </c>
      <c r="C2313">
        <f>LOG10(1.068628)</f>
        <v>2.8826549302419242E-2</v>
      </c>
      <c r="D2313">
        <f>LOG10(3.57716)</f>
        <v>0.55353836580260773</v>
      </c>
    </row>
    <row r="2314" spans="1:4">
      <c r="A2314">
        <v>1.060216</v>
      </c>
      <c r="B2314">
        <v>3.7044999999999999</v>
      </c>
      <c r="C2314">
        <f>LOG10(1.060216)</f>
        <v>2.5394353992725941E-2</v>
      </c>
      <c r="D2314">
        <f>LOG10(3.7045)</f>
        <v>0.56872959911842913</v>
      </c>
    </row>
    <row r="2315" spans="1:4">
      <c r="A2315">
        <v>1.077064</v>
      </c>
      <c r="B2315">
        <v>3.7979820000000002</v>
      </c>
      <c r="C2315">
        <f>LOG10(1.077064)</f>
        <v>3.2241510188445371E-2</v>
      </c>
      <c r="D2315">
        <f>LOG10(3.797982)</f>
        <v>0.57955290212843458</v>
      </c>
    </row>
    <row r="2316" spans="1:4">
      <c r="A2316">
        <v>1.046197</v>
      </c>
      <c r="B2316">
        <v>3.5565190000000002</v>
      </c>
      <c r="C2316">
        <f>LOG10(1.046197)</f>
        <v>1.9613470341279832E-2</v>
      </c>
      <c r="D2316">
        <f>LOG10(3.556519)</f>
        <v>0.55102513317252111</v>
      </c>
    </row>
    <row r="2317" spans="1:4">
      <c r="A2317">
        <v>1.082541</v>
      </c>
      <c r="B2317">
        <v>3.8098809999999999</v>
      </c>
      <c r="C2317">
        <f>LOG10(1.082541)</f>
        <v>3.4444353742780834E-2</v>
      </c>
      <c r="D2317">
        <f>LOG10(3.809881)</f>
        <v>0.58091141088547338</v>
      </c>
    </row>
    <row r="2318" spans="1:4">
      <c r="A2318">
        <v>1.0852919999999999</v>
      </c>
      <c r="B2318">
        <v>3.6548080000000001</v>
      </c>
      <c r="C2318">
        <f>LOG10(1.085292)</f>
        <v>3.5546601712111353E-2</v>
      </c>
      <c r="D2318">
        <f>LOG10(3.654808)</f>
        <v>0.56286456686686703</v>
      </c>
    </row>
    <row r="2319" spans="1:4">
      <c r="A2319">
        <v>1.0902050000000001</v>
      </c>
      <c r="B2319">
        <v>3.6698520000000001</v>
      </c>
      <c r="C2319">
        <f>LOG10(1.090205)</f>
        <v>3.7508169498163026E-2</v>
      </c>
      <c r="D2319">
        <f>LOG10(3.669852)</f>
        <v>0.56464855011601944</v>
      </c>
    </row>
    <row r="2320" spans="1:4">
      <c r="A2320">
        <v>1.088749</v>
      </c>
      <c r="B2320">
        <v>3.836652</v>
      </c>
      <c r="C2320">
        <f>LOG10(1.088749)</f>
        <v>3.69277691227861E-2</v>
      </c>
      <c r="D2320">
        <f>LOG10(3.836652)</f>
        <v>0.58395240870215992</v>
      </c>
    </row>
    <row r="2321" spans="1:4">
      <c r="A2321">
        <v>1.087799</v>
      </c>
      <c r="B2321">
        <v>3.8816009999999999</v>
      </c>
      <c r="C2321">
        <f>LOG10(1.087799)</f>
        <v>3.6548655237856519E-2</v>
      </c>
      <c r="D2321">
        <f>LOG10(3.881601)</f>
        <v>0.58901089107189375</v>
      </c>
    </row>
    <row r="2322" spans="1:4">
      <c r="A2322">
        <v>1.39334</v>
      </c>
      <c r="B2322">
        <v>4.3007939999999998</v>
      </c>
      <c r="C2322">
        <f>LOG10(1.39334)</f>
        <v>0.14405710501442981</v>
      </c>
      <c r="D2322">
        <f>LOG10(4.300794)</f>
        <v>0.63354864115771126</v>
      </c>
    </row>
    <row r="2323" spans="1:4">
      <c r="A2323">
        <v>1.0330459999999999</v>
      </c>
      <c r="B2323">
        <v>4.3494010000000003</v>
      </c>
      <c r="C2323">
        <f>LOG10(1.033046)</f>
        <v>1.4119660436731633E-2</v>
      </c>
      <c r="D2323">
        <f>LOG10(4.349401)</f>
        <v>0.63842944998745166</v>
      </c>
    </row>
    <row r="2324" spans="1:4">
      <c r="A2324">
        <v>1.0245930000000001</v>
      </c>
      <c r="B2324">
        <v>3.9315709999999999</v>
      </c>
      <c r="C2324">
        <f>LOG10(1.024593)</f>
        <v>1.055138445877039E-2</v>
      </c>
      <c r="D2324">
        <f>LOG10(3.931571)</f>
        <v>0.59456612297056111</v>
      </c>
    </row>
    <row r="2325" spans="1:4">
      <c r="A2325">
        <v>1.029806</v>
      </c>
      <c r="B2325">
        <v>4.4403180000000004</v>
      </c>
      <c r="C2325">
        <f>LOG10(1.029806)</f>
        <v>1.2755417845945312E-2</v>
      </c>
      <c r="D2325">
        <f>LOG10(4.440318)</f>
        <v>0.64741407387583749</v>
      </c>
    </row>
    <row r="2326" spans="1:4">
      <c r="A2326">
        <v>1.0259750000000001</v>
      </c>
      <c r="B2326">
        <v>4.4166670000000003</v>
      </c>
      <c r="C2326">
        <f>LOG10(1.025975)</f>
        <v>1.1136778422651759E-2</v>
      </c>
      <c r="D2326">
        <f>LOG10(4.416667)</f>
        <v>0.6450946563301051</v>
      </c>
    </row>
    <row r="2327" spans="1:4">
      <c r="A2327">
        <v>1.0240119999999999</v>
      </c>
      <c r="B2327">
        <v>4.4699819999999999</v>
      </c>
      <c r="C2327">
        <f>LOG10(1.024012)</f>
        <v>1.030504599845132E-2</v>
      </c>
      <c r="D2327">
        <f>LOG10(4.469982)</f>
        <v>0.65030577429157543</v>
      </c>
    </row>
    <row r="2328" spans="1:4">
      <c r="A2328">
        <v>1.0193890000000001</v>
      </c>
      <c r="B2328">
        <v>4.5136729999999998</v>
      </c>
      <c r="C2328">
        <f>LOG10(1.019389)</f>
        <v>8.3399429028012048E-3</v>
      </c>
      <c r="D2328">
        <f>LOG10(4.513673)</f>
        <v>0.65453009274801688</v>
      </c>
    </row>
    <row r="2329" spans="1:4">
      <c r="A2329">
        <v>1.015693</v>
      </c>
      <c r="B2329">
        <v>4.5426010000000003</v>
      </c>
      <c r="C2329">
        <f>LOG10(1.015693)</f>
        <v>6.7624593715071915E-3</v>
      </c>
      <c r="D2329">
        <f>LOG10(4.542601)</f>
        <v>0.65730459217270509</v>
      </c>
    </row>
    <row r="2330" spans="1:4">
      <c r="A2330">
        <v>1.020086</v>
      </c>
      <c r="B2330">
        <v>4.4089660000000004</v>
      </c>
      <c r="C2330">
        <f>LOG10(1.020086)</f>
        <v>8.6367872040762003E-3</v>
      </c>
      <c r="D2330">
        <f>LOG10(4.408966)</f>
        <v>0.64433674975185695</v>
      </c>
    </row>
    <row r="2331" spans="1:4">
      <c r="A2331">
        <v>1.024575</v>
      </c>
      <c r="B2331">
        <v>4.299874</v>
      </c>
      <c r="C2331">
        <f>LOG10(1.024575)</f>
        <v>1.0543754727411621E-2</v>
      </c>
      <c r="D2331">
        <f>LOG10(4.299874)</f>
        <v>0.63345572955482765</v>
      </c>
    </row>
    <row r="2332" spans="1:4">
      <c r="A2332">
        <v>1.026616</v>
      </c>
      <c r="B2332">
        <v>4.1147140000000002</v>
      </c>
      <c r="C2332">
        <f>LOG10(1.026616)</f>
        <v>1.140802853721389E-2</v>
      </c>
      <c r="D2332">
        <f>LOG10(4.114714)</f>
        <v>0.61433965424127213</v>
      </c>
    </row>
    <row r="2333" spans="1:4">
      <c r="A2333">
        <v>1.0241009999999999</v>
      </c>
      <c r="B2333">
        <v>4.0473509999999999</v>
      </c>
      <c r="C2333">
        <f>LOG10(1.024101)</f>
        <v>1.0342790213652064E-2</v>
      </c>
      <c r="D2333">
        <f>LOG10(4.047351)</f>
        <v>0.6071708695146244</v>
      </c>
    </row>
    <row r="2334" spans="1:4">
      <c r="A2334">
        <v>1.022804</v>
      </c>
      <c r="B2334">
        <v>3.9464830000000002</v>
      </c>
      <c r="C2334">
        <f>LOG10(1.022804)</f>
        <v>9.7924178041714598E-3</v>
      </c>
      <c r="D2334">
        <f>LOG10(3.946483)</f>
        <v>0.59621023636421611</v>
      </c>
    </row>
    <row r="2335" spans="1:4">
      <c r="A2335">
        <v>1.018918</v>
      </c>
      <c r="B2335">
        <v>3.968064</v>
      </c>
      <c r="C2335">
        <f>LOG10(1.018918)</f>
        <v>8.1392344672052003E-3</v>
      </c>
      <c r="D2335">
        <f>LOG10(3.968064)</f>
        <v>0.59857866817535987</v>
      </c>
    </row>
    <row r="2336" spans="1:4">
      <c r="A2336">
        <v>1.014626</v>
      </c>
      <c r="B2336">
        <v>3.8350379999999999</v>
      </c>
      <c r="C2336">
        <f>LOG10(1.014626)</f>
        <v>6.3059870094286964E-3</v>
      </c>
      <c r="D2336">
        <f>LOG10(3.835038)</f>
        <v>0.58376967157275728</v>
      </c>
    </row>
    <row r="2337" spans="1:4">
      <c r="A2337">
        <v>1.0159309999999999</v>
      </c>
      <c r="B2337">
        <v>3.6959300000000002</v>
      </c>
      <c r="C2337">
        <f>LOG10(1.015931)</f>
        <v>6.8642125376105548E-3</v>
      </c>
      <c r="D2337">
        <f>LOG10(3.69593)</f>
        <v>0.56772373719589875</v>
      </c>
    </row>
    <row r="2338" spans="1:4">
      <c r="A2338">
        <v>1.040753</v>
      </c>
      <c r="B2338">
        <v>3.945481</v>
      </c>
      <c r="C2338">
        <f>LOG10(1.040753)</f>
        <v>1.7347671426764001E-2</v>
      </c>
      <c r="D2338">
        <f>LOG10(3.945481)</f>
        <v>0.59609995631904478</v>
      </c>
    </row>
    <row r="2339" spans="1:4">
      <c r="A2339">
        <v>1.0442290000000001</v>
      </c>
      <c r="B2339">
        <v>4.2117649999999998</v>
      </c>
      <c r="C2339">
        <f>LOG10(1.044229)</f>
        <v>1.8795750132202829E-2</v>
      </c>
      <c r="D2339">
        <f>LOG10(4.211765)</f>
        <v>0.62446413125740752</v>
      </c>
    </row>
    <row r="2340" spans="1:4">
      <c r="A2340">
        <v>1.0358719999999999</v>
      </c>
      <c r="B2340">
        <v>4.3794269999999997</v>
      </c>
      <c r="C2340">
        <f>LOG10(1.035872)</f>
        <v>1.5306094088674742E-2</v>
      </c>
      <c r="D2340">
        <f>LOG10(4.379427)</f>
        <v>0.64141729155042015</v>
      </c>
    </row>
    <row r="2341" spans="1:4">
      <c r="A2341">
        <v>1.0296989999999999</v>
      </c>
      <c r="B2341">
        <v>4.4457839999999997</v>
      </c>
      <c r="C2341">
        <f>LOG10(1.029699)</f>
        <v>1.2710290973609005E-2</v>
      </c>
      <c r="D2341">
        <f>LOG10(4.445784)</f>
        <v>0.64794835852336485</v>
      </c>
    </row>
    <row r="2342" spans="1:4">
      <c r="A2342">
        <v>1.035639</v>
      </c>
      <c r="B2342">
        <v>4.274006</v>
      </c>
      <c r="C2342">
        <f>LOG10(1.035639)</f>
        <v>1.5208396693188879E-2</v>
      </c>
      <c r="D2342">
        <f>LOG10(4.274006)</f>
        <v>0.63083512750635251</v>
      </c>
    </row>
    <row r="2343" spans="1:4">
      <c r="A2343">
        <v>1.016162</v>
      </c>
      <c r="B2343">
        <v>4.2711769999999998</v>
      </c>
      <c r="C2343">
        <f>LOG10(1.016162)</f>
        <v>6.9629501699451169E-3</v>
      </c>
      <c r="D2343">
        <f>LOG10(4.271177)</f>
        <v>0.63054756920966271</v>
      </c>
    </row>
    <row r="2344" spans="1:4">
      <c r="A2344">
        <v>1.019857</v>
      </c>
      <c r="B2344">
        <v>4.1649719999999997</v>
      </c>
      <c r="C2344">
        <f>LOG10(1.019857)</f>
        <v>8.539281110255318E-3</v>
      </c>
      <c r="D2344">
        <f>LOG10(4.164972)</f>
        <v>0.61961208610622331</v>
      </c>
    </row>
    <row r="2345" spans="1:4">
      <c r="A2345">
        <v>1.025231</v>
      </c>
      <c r="B2345">
        <v>4.1422470000000002</v>
      </c>
      <c r="C2345">
        <f>LOG10(1.025231)</f>
        <v>1.0821729511225174E-2</v>
      </c>
      <c r="D2345">
        <f>LOG10(4.142247)</f>
        <v>0.61723599208006008</v>
      </c>
    </row>
    <row r="2346" spans="1:4">
      <c r="A2346">
        <v>1.0190459999999999</v>
      </c>
      <c r="B2346">
        <v>4.0976129999999999</v>
      </c>
      <c r="C2346">
        <f>LOG10(1.019046)</f>
        <v>8.1937886141446679E-3</v>
      </c>
      <c r="D2346">
        <f>LOG10(4.097613)</f>
        <v>0.61253093895999211</v>
      </c>
    </row>
    <row r="2347" spans="1:4">
      <c r="A2347">
        <v>1.015771</v>
      </c>
      <c r="B2347">
        <v>4.1265539999999996</v>
      </c>
      <c r="C2347">
        <f>LOG10(1.015771)</f>
        <v>6.7958096741511081E-3</v>
      </c>
      <c r="D2347">
        <f>LOG10(4.126554)</f>
        <v>0.61558753265112665</v>
      </c>
    </row>
    <row r="2348" spans="1:4">
      <c r="A2348">
        <v>1.029191</v>
      </c>
      <c r="B2348">
        <v>4.3670099999999996</v>
      </c>
      <c r="C2348">
        <f>LOG10(1.029191)</f>
        <v>1.2495979765837982E-2</v>
      </c>
      <c r="D2348">
        <f>LOG10(4.36701)</f>
        <v>0.64018418641180186</v>
      </c>
    </row>
    <row r="2349" spans="1:4">
      <c r="A2349">
        <v>1.0331239999999999</v>
      </c>
      <c r="B2349">
        <v>4.4460009999999999</v>
      </c>
      <c r="C2349">
        <f>LOG10(1.033124)</f>
        <v>1.4152450545584781E-2</v>
      </c>
      <c r="D2349">
        <f>LOG10(4.446001)</f>
        <v>0.64796955604503048</v>
      </c>
    </row>
    <row r="2350" spans="1:4">
      <c r="A2350">
        <v>1.0326599999999999</v>
      </c>
      <c r="B2350">
        <v>4.2670260000000004</v>
      </c>
      <c r="C2350">
        <f>LOG10(1.03266)</f>
        <v>1.3957354985747036E-2</v>
      </c>
      <c r="D2350">
        <f>LOG10(4.267026)</f>
        <v>0.63012528912650878</v>
      </c>
    </row>
    <row r="2351" spans="1:4">
      <c r="A2351">
        <v>1.031868</v>
      </c>
      <c r="B2351">
        <v>4.2911130000000002</v>
      </c>
      <c r="C2351">
        <f>LOG10(1.031868)</f>
        <v>1.3624144444121524E-2</v>
      </c>
      <c r="D2351">
        <f>LOG10(4.291113)</f>
        <v>0.6325699511745474</v>
      </c>
    </row>
    <row r="2352" spans="1:4">
      <c r="A2352">
        <v>1.0288040000000001</v>
      </c>
      <c r="B2352">
        <v>4.1444010000000002</v>
      </c>
      <c r="C2352">
        <f>LOG10(1.028804)</f>
        <v>1.2332644124616671E-2</v>
      </c>
      <c r="D2352">
        <f>LOG10(4.144401)</f>
        <v>0.61746176982157597</v>
      </c>
    </row>
    <row r="2353" spans="1:4">
      <c r="A2353">
        <v>1.0350550000000001</v>
      </c>
      <c r="B2353">
        <v>3.7711440000000001</v>
      </c>
      <c r="C2353">
        <f>LOG10(1.035055)</f>
        <v>1.4963427630491914E-2</v>
      </c>
      <c r="D2353">
        <f>LOG10(3.771144)</f>
        <v>0.576473116126483</v>
      </c>
    </row>
    <row r="2354" spans="1:4">
      <c r="A2354">
        <v>1.0435380000000001</v>
      </c>
      <c r="B2354">
        <v>3.7626339999999998</v>
      </c>
      <c r="C2354">
        <f>LOG10(1.043538)</f>
        <v>1.8508268341415647E-2</v>
      </c>
      <c r="D2354">
        <f>LOG10(3.762634)</f>
        <v>0.57549197555852305</v>
      </c>
    </row>
    <row r="2355" spans="1:4">
      <c r="A2355">
        <v>1.0462549999999999</v>
      </c>
      <c r="B2355">
        <v>3.7497029999999998</v>
      </c>
      <c r="C2355">
        <f>LOG10(1.046255)</f>
        <v>1.9637546477752059E-2</v>
      </c>
      <c r="D2355">
        <f>LOG10(3.749703)</f>
        <v>0.57399687024259372</v>
      </c>
    </row>
    <row r="2356" spans="1:4">
      <c r="A2356">
        <v>1.0429310000000001</v>
      </c>
      <c r="B2356">
        <v>3.66255</v>
      </c>
      <c r="C2356">
        <f>LOG10(1.042931)</f>
        <v>1.8255576585197449E-2</v>
      </c>
      <c r="D2356">
        <f>LOG10(3.66255)</f>
        <v>0.5637835622566022</v>
      </c>
    </row>
    <row r="2357" spans="1:4">
      <c r="A2357">
        <v>1.0277419999999999</v>
      </c>
      <c r="B2357">
        <v>3.7134670000000001</v>
      </c>
      <c r="C2357">
        <f>LOG10(1.027742)</f>
        <v>1.1884104893518476E-2</v>
      </c>
      <c r="D2357">
        <f>LOG10(3.713467)</f>
        <v>0.56977956887863057</v>
      </c>
    </row>
    <row r="2358" spans="1:4">
      <c r="A2358">
        <v>1.024761</v>
      </c>
      <c r="B2358">
        <v>3.7427589999999999</v>
      </c>
      <c r="C2358">
        <f>LOG10(1.024761)</f>
        <v>1.0622588821826418E-2</v>
      </c>
      <c r="D2358">
        <f>LOG10(3.742759)</f>
        <v>0.57319186335812811</v>
      </c>
    </row>
    <row r="2359" spans="1:4">
      <c r="A2359">
        <v>1.0325139999999999</v>
      </c>
      <c r="B2359">
        <v>3.807178</v>
      </c>
      <c r="C2359">
        <f>LOG10(1.032514)</f>
        <v>1.3895949027252982E-2</v>
      </c>
      <c r="D2359">
        <f>LOG10(3.807178)</f>
        <v>0.58060318220197249</v>
      </c>
    </row>
    <row r="2360" spans="1:4">
      <c r="A2360">
        <v>1.0344869999999999</v>
      </c>
      <c r="B2360">
        <v>3.8397169999999998</v>
      </c>
      <c r="C2360">
        <f>LOG10(1.034487)</f>
        <v>1.4725037424431891E-2</v>
      </c>
      <c r="D2360">
        <f>LOG10(3.839717)</f>
        <v>0.58429921658952688</v>
      </c>
    </row>
    <row r="2361" spans="1:4">
      <c r="A2361">
        <v>1.0299720000000001</v>
      </c>
      <c r="B2361">
        <v>3.8696950000000001</v>
      </c>
      <c r="C2361">
        <f>LOG10(1.029972)</f>
        <v>1.2825418481112856E-2</v>
      </c>
      <c r="D2361">
        <f>LOG10(3.869695)</f>
        <v>0.58767673632719963</v>
      </c>
    </row>
    <row r="2362" spans="1:4">
      <c r="A2362">
        <v>1.021698</v>
      </c>
      <c r="B2362">
        <v>3.8598189999999999</v>
      </c>
      <c r="C2362">
        <f>LOG10(1.021698)</f>
        <v>9.3225432392752185E-3</v>
      </c>
      <c r="D2362">
        <f>LOG10(3.859819)</f>
        <v>0.58656693960847073</v>
      </c>
    </row>
    <row r="2363" spans="1:4">
      <c r="A2363">
        <v>1.029344</v>
      </c>
      <c r="B2363">
        <v>4.0270539999999997</v>
      </c>
      <c r="C2363">
        <f>LOG10(1.029344)</f>
        <v>1.2560537381670196E-2</v>
      </c>
      <c r="D2363">
        <f>LOG10(4.027054)</f>
        <v>0.60498745323414749</v>
      </c>
    </row>
    <row r="2364" spans="1:4">
      <c r="A2364">
        <v>1.020059</v>
      </c>
      <c r="B2364">
        <v>3.973239</v>
      </c>
      <c r="C2364">
        <f>LOG10(1.020059)</f>
        <v>8.6252919907339395E-3</v>
      </c>
      <c r="D2364">
        <f>LOG10(3.973239)</f>
        <v>0.59914468971162005</v>
      </c>
    </row>
    <row r="2365" spans="1:4">
      <c r="A2365">
        <v>1.023299</v>
      </c>
      <c r="B2365">
        <v>4.250051</v>
      </c>
      <c r="C2365">
        <f>LOG10(1.023299)</f>
        <v>1.0002549721026112E-2</v>
      </c>
      <c r="D2365">
        <f>LOG10(4.250051)</f>
        <v>0.62839414155282547</v>
      </c>
    </row>
    <row r="2366" spans="1:4">
      <c r="A2366">
        <v>1.0530660000000001</v>
      </c>
      <c r="B2366">
        <v>4.0942220000000002</v>
      </c>
      <c r="C2366">
        <f>LOG10(1.053066)</f>
        <v>2.2455591069208133E-2</v>
      </c>
      <c r="D2366">
        <f>LOG10(4.094222)</f>
        <v>0.61217138760861578</v>
      </c>
    </row>
    <row r="2367" spans="1:4">
      <c r="A2367">
        <v>1.027555</v>
      </c>
      <c r="B2367">
        <v>4.081194</v>
      </c>
      <c r="C2367">
        <f>LOG10(1.027555)</f>
        <v>1.180507683252293E-2</v>
      </c>
      <c r="D2367">
        <f>LOG10(4.081194)</f>
        <v>0.61078723949931024</v>
      </c>
    </row>
    <row r="2368" spans="1:4">
      <c r="A2368">
        <v>1.043749</v>
      </c>
      <c r="B2368">
        <v>4.0923530000000001</v>
      </c>
      <c r="C2368">
        <f>LOG10(1.043749)</f>
        <v>1.8596072400937608E-2</v>
      </c>
      <c r="D2368">
        <f>LOG10(4.092353)</f>
        <v>0.61197308822192986</v>
      </c>
    </row>
    <row r="2369" spans="1:4">
      <c r="A2369">
        <v>1.0266850000000001</v>
      </c>
      <c r="B2369">
        <v>4.4667190000000003</v>
      </c>
      <c r="C2369">
        <f>LOG10(1.026685)</f>
        <v>1.1437216970144713E-2</v>
      </c>
      <c r="D2369">
        <f>LOG10(4.466719)</f>
        <v>0.64998863199098289</v>
      </c>
    </row>
    <row r="2370" spans="1:4">
      <c r="A2370">
        <v>1.0992329999999999</v>
      </c>
      <c r="B2370">
        <v>4.1827230000000002</v>
      </c>
      <c r="C2370">
        <f>LOG10(1.099233)</f>
        <v>4.1089757836631366E-2</v>
      </c>
      <c r="D2370">
        <f>LOG10(4.182723)</f>
        <v>0.6214591044671216</v>
      </c>
    </row>
    <row r="2371" spans="1:4">
      <c r="A2371">
        <v>1.102684</v>
      </c>
      <c r="B2371">
        <v>3.7015479999999998</v>
      </c>
      <c r="C2371">
        <f>LOG10(1.102684)</f>
        <v>4.2451072985381685E-2</v>
      </c>
      <c r="D2371">
        <f>LOG10(3.701548)</f>
        <v>0.56838338548911604</v>
      </c>
    </row>
    <row r="2372" spans="1:4">
      <c r="A2372">
        <v>1.0809880000000001</v>
      </c>
      <c r="B2372">
        <v>3.5807570000000002</v>
      </c>
      <c r="C2372">
        <f>LOG10(1.080988)</f>
        <v>3.382087289622504E-2</v>
      </c>
      <c r="D2372">
        <f>LOG10(3.580757)</f>
        <v>0.55397484959611965</v>
      </c>
    </row>
    <row r="2373" spans="1:4">
      <c r="A2373">
        <v>1.08361</v>
      </c>
      <c r="B2373">
        <v>3.937783</v>
      </c>
      <c r="C2373">
        <f>LOG10(1.08361)</f>
        <v>3.4873004228221531E-2</v>
      </c>
      <c r="D2373">
        <f>LOG10(3.937783)</f>
        <v>0.59525177973017795</v>
      </c>
    </row>
    <row r="2374" spans="1:4">
      <c r="A2374">
        <v>1.094892</v>
      </c>
      <c r="B2374">
        <v>4.1356809999999999</v>
      </c>
      <c r="C2374">
        <f>LOG10(1.094892)</f>
        <v>3.9371282539368217E-2</v>
      </c>
      <c r="D2374">
        <f>LOG10(4.135681)</f>
        <v>0.61654703267712585</v>
      </c>
    </row>
    <row r="2375" spans="1:4">
      <c r="A2375">
        <v>1.1042190000000001</v>
      </c>
      <c r="B2375">
        <v>3.9815860000000001</v>
      </c>
      <c r="C2375">
        <f>LOG10(1.104219)</f>
        <v>4.305521565701232E-2</v>
      </c>
      <c r="D2375">
        <f>LOG10(3.981586)</f>
        <v>0.60005610067814175</v>
      </c>
    </row>
    <row r="2376" spans="1:4">
      <c r="A2376">
        <v>1.1148180000000001</v>
      </c>
      <c r="B2376">
        <v>3.9328810000000001</v>
      </c>
      <c r="C2376">
        <f>LOG10(1.114818)</f>
        <v>4.7203972274460319E-2</v>
      </c>
      <c r="D2376">
        <f>LOG10(3.932881)</f>
        <v>0.59471080584905167</v>
      </c>
    </row>
    <row r="2377" spans="1:4">
      <c r="A2377">
        <v>1.088049</v>
      </c>
      <c r="B2377">
        <v>3.8355700000000001</v>
      </c>
      <c r="C2377">
        <f>LOG10(1.088049)</f>
        <v>3.6648454140126921E-2</v>
      </c>
      <c r="D2377">
        <f>LOG10(3.83557)</f>
        <v>0.58382991312459853</v>
      </c>
    </row>
    <row r="2378" spans="1:4">
      <c r="A2378">
        <v>1.0837129999999999</v>
      </c>
      <c r="B2378">
        <v>3.86382</v>
      </c>
      <c r="C2378">
        <f>LOG10(1.083713)</f>
        <v>3.4914283106976286E-2</v>
      </c>
      <c r="D2378">
        <f>LOG10(3.86382)</f>
        <v>0.58701688616281422</v>
      </c>
    </row>
    <row r="2379" spans="1:4">
      <c r="A2379">
        <v>1.078964</v>
      </c>
      <c r="B2379">
        <v>3.6497660000000001</v>
      </c>
      <c r="C2379">
        <f>LOG10(1.078964)</f>
        <v>3.3006954541879636E-2</v>
      </c>
      <c r="D2379">
        <f>LOG10(3.649766)</f>
        <v>0.56226502112319521</v>
      </c>
    </row>
    <row r="2380" spans="1:4">
      <c r="A2380">
        <v>1.0865100000000001</v>
      </c>
      <c r="B2380">
        <v>3.7165509999999999</v>
      </c>
      <c r="C2380">
        <f>LOG10(1.08651)</f>
        <v>3.6033727826201192E-2</v>
      </c>
      <c r="D2380">
        <f>LOG10(3.716551)</f>
        <v>0.57014009674252197</v>
      </c>
    </row>
    <row r="2381" spans="1:4">
      <c r="A2381">
        <v>1.0924860000000001</v>
      </c>
      <c r="B2381">
        <v>3.7636729999999998</v>
      </c>
      <c r="C2381">
        <f>LOG10(1.092486)</f>
        <v>3.8415880277055094E-2</v>
      </c>
      <c r="D2381">
        <f>LOG10(3.763673)</f>
        <v>0.5756118834946633</v>
      </c>
    </row>
    <row r="2382" spans="1:4">
      <c r="A2382">
        <v>1.0814349999999999</v>
      </c>
      <c r="B2382">
        <v>3.692971</v>
      </c>
      <c r="C2382">
        <f>LOG10(1.081435)</f>
        <v>3.4000421149435217E-2</v>
      </c>
      <c r="D2382">
        <f>LOG10(3.692971)</f>
        <v>0.56737589725579163</v>
      </c>
    </row>
    <row r="2383" spans="1:4">
      <c r="A2383">
        <v>1.071942</v>
      </c>
      <c r="B2383">
        <v>3.5062250000000001</v>
      </c>
      <c r="C2383">
        <f>LOG10(1.071942)</f>
        <v>3.0171287445001218E-2</v>
      </c>
      <c r="D2383">
        <f>LOG10(3.506225)</f>
        <v>0.5448397820153511</v>
      </c>
    </row>
    <row r="2384" spans="1:4">
      <c r="A2384">
        <v>1.071256</v>
      </c>
      <c r="B2384">
        <v>3.4456440000000002</v>
      </c>
      <c r="C2384">
        <f>LOG10(1.071256)</f>
        <v>2.9893267378950334E-2</v>
      </c>
      <c r="D2384">
        <f>LOG10(3.445644)</f>
        <v>0.53727040462034215</v>
      </c>
    </row>
    <row r="2385" spans="1:4">
      <c r="A2385">
        <v>1.0656620000000001</v>
      </c>
      <c r="B2385">
        <v>3.5203890000000002</v>
      </c>
      <c r="C2385">
        <f>LOG10(1.065662)</f>
        <v>2.7619479726545607E-2</v>
      </c>
      <c r="D2385">
        <f>LOG10(3.520389)</f>
        <v>0.54659065530177386</v>
      </c>
    </row>
    <row r="2386" spans="1:4">
      <c r="A2386">
        <v>1.061801</v>
      </c>
      <c r="B2386">
        <v>3.984556</v>
      </c>
      <c r="C2386">
        <f>LOG10(1.061801)</f>
        <v>2.6043130022163401E-2</v>
      </c>
      <c r="D2386">
        <f>LOG10(3.984556)</f>
        <v>0.6003799348932527</v>
      </c>
    </row>
    <row r="2387" spans="1:4">
      <c r="A2387">
        <v>1.0844419999999999</v>
      </c>
      <c r="B2387">
        <v>4.2401249999999999</v>
      </c>
      <c r="C2387">
        <f>LOG10(1.084442)</f>
        <v>3.5206329283783887E-2</v>
      </c>
      <c r="D2387">
        <f>LOG10(4.240125)</f>
        <v>0.62737865989698627</v>
      </c>
    </row>
    <row r="2388" spans="1:4">
      <c r="A2388">
        <v>1.089218</v>
      </c>
      <c r="B2388">
        <v>4.2071199999999997</v>
      </c>
      <c r="C2388">
        <f>LOG10(1.089218)</f>
        <v>3.7114809711703167E-2</v>
      </c>
      <c r="D2388">
        <f>LOG10(4.20712)</f>
        <v>0.62398489960781556</v>
      </c>
    </row>
    <row r="2389" spans="1:4">
      <c r="A2389">
        <v>1.070144</v>
      </c>
      <c r="B2389">
        <v>4.2454919999999996</v>
      </c>
      <c r="C2389">
        <f>LOG10(1.070144)</f>
        <v>2.9442220860517881E-2</v>
      </c>
      <c r="D2389">
        <f>LOG10(4.245492)</f>
        <v>0.62792802685408122</v>
      </c>
    </row>
    <row r="2390" spans="1:4">
      <c r="A2390">
        <v>1.0554410000000001</v>
      </c>
      <c r="B2390">
        <v>4.2052209999999999</v>
      </c>
      <c r="C2390">
        <f>LOG10(1.055441)</f>
        <v>2.3433960911697426E-2</v>
      </c>
      <c r="D2390">
        <f>LOG10(4.205221)</f>
        <v>0.62378882452356899</v>
      </c>
    </row>
    <row r="2391" spans="1:4">
      <c r="A2391">
        <v>1.0665690000000001</v>
      </c>
      <c r="B2391">
        <v>4.2414360000000002</v>
      </c>
      <c r="C2391">
        <f>LOG10(1.066569)</f>
        <v>2.7988956691137722E-2</v>
      </c>
      <c r="D2391">
        <f>LOG10(4.241436)</f>
        <v>0.62751291821813959</v>
      </c>
    </row>
    <row r="2392" spans="1:4">
      <c r="A2392">
        <v>1.076983</v>
      </c>
      <c r="B2392">
        <v>4.3302509999999996</v>
      </c>
      <c r="C2392">
        <f>LOG10(1.076983)</f>
        <v>3.2208848084925121E-2</v>
      </c>
      <c r="D2392">
        <f>LOG10(4.330251)</f>
        <v>0.63651307066182095</v>
      </c>
    </row>
    <row r="2393" spans="1:4">
      <c r="A2393">
        <v>1.087823</v>
      </c>
      <c r="B2393">
        <v>4.1547669999999997</v>
      </c>
      <c r="C2393">
        <f>LOG10(1.087823)</f>
        <v>3.6558236927659353E-2</v>
      </c>
      <c r="D2393">
        <f>LOG10(4.154767)</f>
        <v>0.61854667349880044</v>
      </c>
    </row>
    <row r="2394" spans="1:4">
      <c r="A2394">
        <v>1.0845940000000001</v>
      </c>
      <c r="B2394">
        <v>4.0854239999999997</v>
      </c>
      <c r="C2394">
        <f>LOG10(1.084594)</f>
        <v>3.5267197578600029E-2</v>
      </c>
      <c r="D2394">
        <f>LOG10(4.085424)</f>
        <v>0.61123713585119943</v>
      </c>
    </row>
    <row r="2395" spans="1:4">
      <c r="A2395">
        <v>1.047941</v>
      </c>
      <c r="B2395">
        <v>4.1413279999999997</v>
      </c>
      <c r="C2395">
        <f>LOG10(1.047941)</f>
        <v>2.0336832174684936E-2</v>
      </c>
      <c r="D2395">
        <f>LOG10(4.141328)</f>
        <v>0.61713962870301409</v>
      </c>
    </row>
    <row r="2396" spans="1:4">
      <c r="A2396">
        <v>1.047024</v>
      </c>
      <c r="B2396">
        <v>4.3607670000000001</v>
      </c>
      <c r="C2396">
        <f>LOG10(1.047024)</f>
        <v>1.9956636739114915E-2</v>
      </c>
      <c r="D2396">
        <f>LOG10(4.360767)</f>
        <v>0.63956288251896842</v>
      </c>
    </row>
    <row r="2397" spans="1:4">
      <c r="A2397">
        <v>1.0380689999999999</v>
      </c>
      <c r="B2397">
        <v>4.225765</v>
      </c>
      <c r="C2397">
        <f>LOG10(1.038069)</f>
        <v>1.6226221839322517E-2</v>
      </c>
      <c r="D2397">
        <f>LOG10(4.225765)</f>
        <v>0.62590534173640489</v>
      </c>
    </row>
    <row r="2398" spans="1:4">
      <c r="A2398">
        <v>1.123135</v>
      </c>
      <c r="B2398">
        <v>4.3315390000000003</v>
      </c>
      <c r="C2398">
        <f>LOG10(1.123135)</f>
        <v>5.0431961275962729E-2</v>
      </c>
      <c r="D2398">
        <f>LOG10(4.331539)</f>
        <v>0.63664222902211698</v>
      </c>
    </row>
    <row r="2399" spans="1:4">
      <c r="A2399">
        <v>1.187751</v>
      </c>
      <c r="B2399">
        <v>4.473357</v>
      </c>
      <c r="C2399">
        <f>LOG10(1.187751)</f>
        <v>7.4725404735780307E-2</v>
      </c>
      <c r="D2399">
        <f>LOG10(4.473357)</f>
        <v>0.6506335587904083</v>
      </c>
    </row>
    <row r="2400" spans="1:4">
      <c r="A2400">
        <v>1.292867</v>
      </c>
      <c r="B2400">
        <v>4.1275500000000003</v>
      </c>
      <c r="C2400">
        <f>LOG10(1.292867)</f>
        <v>0.11155385037382114</v>
      </c>
      <c r="D2400">
        <f>LOG10(4.12755)</f>
        <v>0.61569234289002728</v>
      </c>
    </row>
    <row r="2401" spans="1:4">
      <c r="A2401">
        <v>1.3401959999999999</v>
      </c>
      <c r="B2401">
        <v>3.5706799999999999</v>
      </c>
      <c r="C2401">
        <f>LOG10(1.340196)</f>
        <v>0.12716831738998693</v>
      </c>
      <c r="D2401">
        <f>LOG10(3.57068)</f>
        <v>0.55275093099329331</v>
      </c>
    </row>
    <row r="2402" spans="1:4">
      <c r="A2402">
        <v>1.3421000000000001</v>
      </c>
      <c r="B2402">
        <v>3.5333860000000001</v>
      </c>
      <c r="C2402">
        <f>LOG10(1.3421)</f>
        <v>0.12778487636217148</v>
      </c>
      <c r="D2402">
        <f>LOG10(3.533386)</f>
        <v>0.54819108394291383</v>
      </c>
    </row>
    <row r="2403" spans="1:4">
      <c r="A2403">
        <v>1.587432</v>
      </c>
      <c r="B2403">
        <v>4.0395339999999997</v>
      </c>
      <c r="C2403">
        <f>LOG10(1.587432)</f>
        <v>0.20069513071533018</v>
      </c>
      <c r="D2403">
        <f>LOG10(4.039534)</f>
        <v>0.60633126785777047</v>
      </c>
    </row>
    <row r="2404" spans="1:4">
      <c r="A2404">
        <v>1.5889610000000001</v>
      </c>
      <c r="B2404">
        <v>4.0856199999999996</v>
      </c>
      <c r="C2404">
        <f>LOG10(1.588961)</f>
        <v>0.2011132378665034</v>
      </c>
      <c r="D2404">
        <f>LOG10(4.08562)</f>
        <v>0.61125797081879218</v>
      </c>
    </row>
    <row r="2405" spans="1:4">
      <c r="A2405">
        <v>1.6417409999999999</v>
      </c>
      <c r="B2405">
        <v>4.1809320000000003</v>
      </c>
      <c r="C2405">
        <f>LOG10(1.641741)</f>
        <v>0.21530464417019929</v>
      </c>
      <c r="D2405">
        <f>LOG10(4.180932)</f>
        <v>0.62127310410508418</v>
      </c>
    </row>
    <row r="2406" spans="1:4">
      <c r="A2406">
        <v>1.685827</v>
      </c>
      <c r="B2406">
        <v>4.0831249999999999</v>
      </c>
      <c r="C2406">
        <f>LOG10(1.685827)</f>
        <v>0.22681300516397945</v>
      </c>
      <c r="D2406">
        <f>LOG10(4.083125)</f>
        <v>0.61099267553388781</v>
      </c>
    </row>
    <row r="2407" spans="1:4">
      <c r="A2407">
        <v>1.548691</v>
      </c>
      <c r="B2407">
        <v>4.2637070000000001</v>
      </c>
      <c r="C2407">
        <f>LOG10(1.548691)</f>
        <v>0.18996477451728602</v>
      </c>
      <c r="D2407">
        <f>LOG10(4.263707)</f>
        <v>0.62978735252524209</v>
      </c>
    </row>
    <row r="2408" spans="1:4">
      <c r="A2408">
        <v>1.6552450000000001</v>
      </c>
      <c r="B2408">
        <v>4.2553010000000002</v>
      </c>
      <c r="C2408">
        <f>LOG10(1.655245)</f>
        <v>0.2188622846816202</v>
      </c>
      <c r="D2408">
        <f>LOG10(4.255301)</f>
        <v>0.6289302854583485</v>
      </c>
    </row>
    <row r="2409" spans="1:4">
      <c r="A2409">
        <v>1.5620069999999999</v>
      </c>
      <c r="B2409">
        <v>3.7928790000000001</v>
      </c>
      <c r="C2409">
        <f>LOG10(1.562007)</f>
        <v>0.19368297579900329</v>
      </c>
      <c r="D2409">
        <f>LOG10(3.792879)</f>
        <v>0.57896898810998343</v>
      </c>
    </row>
    <row r="2410" spans="1:4">
      <c r="A2410">
        <v>1.6829430000000001</v>
      </c>
      <c r="B2410">
        <v>3.6541229999999998</v>
      </c>
      <c r="C2410">
        <f>LOG10(1.682943)</f>
        <v>0.22606940700097145</v>
      </c>
      <c r="D2410">
        <f>LOG10(3.654123)</f>
        <v>0.56278316187864785</v>
      </c>
    </row>
    <row r="2411" spans="1:4">
      <c r="A2411">
        <v>1.619445</v>
      </c>
      <c r="B2411">
        <v>3.8490929999999999</v>
      </c>
      <c r="C2411">
        <f>LOG10(1.619445)</f>
        <v>0.20936620297780142</v>
      </c>
      <c r="D2411">
        <f>LOG10(3.849093)</f>
        <v>0.58535840444322129</v>
      </c>
    </row>
    <row r="2412" spans="1:4">
      <c r="A2412">
        <v>1.748092</v>
      </c>
      <c r="B2412">
        <v>3.7882720000000001</v>
      </c>
      <c r="C2412">
        <f>LOG10(1.748092)</f>
        <v>0.24256428530120014</v>
      </c>
      <c r="D2412">
        <f>LOG10(3.788272)</f>
        <v>0.57844115403190777</v>
      </c>
    </row>
    <row r="2413" spans="1:4">
      <c r="A2413">
        <v>1.6030660000000001</v>
      </c>
      <c r="B2413">
        <v>3.6350720000000001</v>
      </c>
      <c r="C2413">
        <f>LOG10(1.603066)</f>
        <v>0.20495140310632504</v>
      </c>
      <c r="D2413">
        <f>LOG10(3.635072)</f>
        <v>0.56051301736645143</v>
      </c>
    </row>
    <row r="2414" spans="1:4">
      <c r="A2414">
        <v>1.4646600000000001</v>
      </c>
      <c r="B2414">
        <v>3.551863</v>
      </c>
      <c r="C2414">
        <f>LOG10(1.46466)</f>
        <v>0.16573682109891971</v>
      </c>
      <c r="D2414">
        <f>LOG10(3.551863)</f>
        <v>0.55045620612360435</v>
      </c>
    </row>
    <row r="2415" spans="1:4">
      <c r="A2415">
        <v>1.5163869999999999</v>
      </c>
      <c r="B2415">
        <v>3.7335820000000002</v>
      </c>
      <c r="C2415">
        <f>LOG10(1.516387)</f>
        <v>0.18081005255968216</v>
      </c>
      <c r="D2415">
        <f>LOG10(3.733582)</f>
        <v>0.57212569410178393</v>
      </c>
    </row>
    <row r="2416" spans="1:4">
      <c r="A2416">
        <v>1.4468259999999999</v>
      </c>
      <c r="B2416">
        <v>3.6708319999999999</v>
      </c>
      <c r="C2416">
        <f>LOG10(1.446826)</f>
        <v>0.16041630459267253</v>
      </c>
      <c r="D2416">
        <f>LOG10(3.670832)</f>
        <v>0.56476450895440389</v>
      </c>
    </row>
    <row r="2417" spans="1:4">
      <c r="A2417">
        <v>1.4229529999999999</v>
      </c>
      <c r="B2417">
        <v>3.8148780000000002</v>
      </c>
      <c r="C2417">
        <f>LOG10(1.422953)</f>
        <v>0.1531905556164373</v>
      </c>
      <c r="D2417">
        <f>LOG10(3.814878)</f>
        <v>0.58148065375249891</v>
      </c>
    </row>
    <row r="2418" spans="1:4">
      <c r="A2418">
        <v>1.4502999999999999</v>
      </c>
      <c r="B2418">
        <v>3.8192789999999999</v>
      </c>
      <c r="C2418">
        <f>LOG10(1.4503)</f>
        <v>0.16145784697175081</v>
      </c>
      <c r="D2418">
        <f>LOG10(3.819279)</f>
        <v>0.5819813849338441</v>
      </c>
    </row>
    <row r="2419" spans="1:4">
      <c r="A2419">
        <v>1.34389</v>
      </c>
      <c r="B2419">
        <v>4.3487530000000003</v>
      </c>
      <c r="C2419">
        <f>LOG10(1.34389)</f>
        <v>0.12836372232786042</v>
      </c>
      <c r="D2419">
        <f>LOG10(4.348753)</f>
        <v>0.63836474135506971</v>
      </c>
    </row>
    <row r="2420" spans="1:4">
      <c r="A2420">
        <v>1.2578279999999999</v>
      </c>
      <c r="B2420">
        <v>4.4008779999999996</v>
      </c>
      <c r="C2420">
        <f>LOG10(1.257828)</f>
        <v>9.9621258153814563E-2</v>
      </c>
      <c r="D2420">
        <f>LOG10(4.400878)</f>
        <v>0.64353932933068225</v>
      </c>
    </row>
    <row r="2421" spans="1:4">
      <c r="A2421">
        <v>1.1470210000000001</v>
      </c>
      <c r="B2421">
        <v>4.437233</v>
      </c>
      <c r="C2421">
        <f>LOG10(1.147021)</f>
        <v>5.957136916598605E-2</v>
      </c>
      <c r="D2421">
        <f>LOG10(4.437233)</f>
        <v>0.64711223420618014</v>
      </c>
    </row>
    <row r="2422" spans="1:4">
      <c r="A2422">
        <v>1.145877</v>
      </c>
      <c r="B2422">
        <v>4.4622250000000001</v>
      </c>
      <c r="C2422">
        <f>LOG10(1.145877)</f>
        <v>5.9138002371193273E-2</v>
      </c>
      <c r="D2422">
        <f>LOG10(4.462225)</f>
        <v>0.64955146505019457</v>
      </c>
    </row>
    <row r="2423" spans="1:4">
      <c r="A2423">
        <v>1.1892130000000001</v>
      </c>
      <c r="B2423">
        <v>4.4792589999999999</v>
      </c>
      <c r="C2423">
        <f>LOG10(1.189213)</f>
        <v>7.5259648092104406E-2</v>
      </c>
      <c r="D2423">
        <f>LOG10(4.479259)</f>
        <v>0.65120617497399613</v>
      </c>
    </row>
    <row r="2424" spans="1:4">
      <c r="A2424">
        <v>1.1716690000000001</v>
      </c>
      <c r="B2424">
        <v>4.5052159999999999</v>
      </c>
      <c r="C2424">
        <f>LOG10(1.171669)</f>
        <v>6.8804939517644437E-2</v>
      </c>
      <c r="D2424">
        <f>LOG10(4.505216)</f>
        <v>0.65371561781436682</v>
      </c>
    </row>
    <row r="2425" spans="1:4">
      <c r="A2425">
        <v>1.150334</v>
      </c>
      <c r="B2425">
        <v>4.4268470000000004</v>
      </c>
      <c r="C2425">
        <f>LOG10(1.150334)</f>
        <v>6.082395626371432E-2</v>
      </c>
      <c r="D2425">
        <f>LOG10(4.426847)</f>
        <v>0.64609451221964664</v>
      </c>
    </row>
    <row r="2426" spans="1:4">
      <c r="A2426">
        <v>1.1996260000000001</v>
      </c>
      <c r="B2426">
        <v>4.3422809999999998</v>
      </c>
      <c r="C2426">
        <f>LOG10(1.199626)</f>
        <v>7.904586983687617E-2</v>
      </c>
      <c r="D2426">
        <f>LOG10(4.342281)</f>
        <v>0.63771792432353158</v>
      </c>
    </row>
    <row r="2427" spans="1:4">
      <c r="A2427">
        <v>1.1676040000000001</v>
      </c>
      <c r="B2427">
        <v>4.2998659999999997</v>
      </c>
      <c r="C2427">
        <f>LOG10(1.167604)</f>
        <v>6.7295574132824984E-2</v>
      </c>
      <c r="D2427">
        <f>LOG10(4.299866)</f>
        <v>0.63345492154066552</v>
      </c>
    </row>
    <row r="2428" spans="1:4">
      <c r="A2428">
        <v>1.1018829999999999</v>
      </c>
      <c r="B2428">
        <v>4.2713270000000003</v>
      </c>
      <c r="C2428">
        <f>LOG10(1.101883)</f>
        <v>4.213548276261924E-2</v>
      </c>
      <c r="D2428">
        <f>LOG10(4.271327)</f>
        <v>0.63056282098415239</v>
      </c>
    </row>
    <row r="2429" spans="1:4">
      <c r="A2429">
        <v>1.1267450000000001</v>
      </c>
      <c r="B2429">
        <v>4.5312749999999999</v>
      </c>
      <c r="C2429">
        <f>LOG10(1.126745)</f>
        <v>5.1825639538908203E-2</v>
      </c>
      <c r="D2429">
        <f>LOG10(4.531275)</f>
        <v>0.65622042001594538</v>
      </c>
    </row>
    <row r="2430" spans="1:4">
      <c r="A2430">
        <v>1.172625</v>
      </c>
      <c r="B2430">
        <v>4.5096400000000001</v>
      </c>
      <c r="C2430">
        <f>LOG10(1.172625)</f>
        <v>6.9159148970652104E-2</v>
      </c>
      <c r="D2430">
        <f>LOG10(4.50964)</f>
        <v>0.65414187397246359</v>
      </c>
    </row>
    <row r="2431" spans="1:4">
      <c r="A2431">
        <v>1.20662</v>
      </c>
      <c r="B2431">
        <v>4.3993849999999997</v>
      </c>
      <c r="C2431">
        <f>LOG10(1.20662)</f>
        <v>8.1570519569522312E-2</v>
      </c>
      <c r="D2431">
        <f>LOG10(4.399385)</f>
        <v>0.64339196971933821</v>
      </c>
    </row>
    <row r="2432" spans="1:4">
      <c r="A2432">
        <v>1.1431830000000001</v>
      </c>
      <c r="B2432">
        <v>4.3510939999999998</v>
      </c>
      <c r="C2432">
        <f>LOG10(1.143183)</f>
        <v>5.8115757541934536E-2</v>
      </c>
      <c r="D2432">
        <f>LOG10(4.351094)</f>
        <v>0.63859846578876911</v>
      </c>
    </row>
    <row r="2433" spans="1:4">
      <c r="A2433">
        <v>1.2569220000000001</v>
      </c>
      <c r="B2433">
        <v>4.2213190000000003</v>
      </c>
      <c r="C2433">
        <f>LOG10(1.256922)</f>
        <v>9.9308327788865253E-2</v>
      </c>
      <c r="D2433">
        <f>LOG10(4.221319)</f>
        <v>0.62544817250620799</v>
      </c>
    </row>
    <row r="2434" spans="1:4">
      <c r="A2434">
        <v>1.341709</v>
      </c>
      <c r="B2434">
        <v>3.9279899999999999</v>
      </c>
      <c r="C2434">
        <f>LOG10(1.341709)</f>
        <v>0.12765833297281284</v>
      </c>
      <c r="D2434">
        <f>LOG10(3.92799)</f>
        <v>0.59417037347582158</v>
      </c>
    </row>
    <row r="2435" spans="1:4">
      <c r="A2435">
        <v>1.271225</v>
      </c>
      <c r="B2435">
        <v>3.935333</v>
      </c>
      <c r="C2435">
        <f>LOG10(1.271225)</f>
        <v>0.10422242514904473</v>
      </c>
      <c r="D2435">
        <f>LOG10(3.935333)</f>
        <v>0.59498148737959955</v>
      </c>
    </row>
    <row r="2436" spans="1:4">
      <c r="A2436">
        <v>1.3365590000000001</v>
      </c>
      <c r="B2436">
        <v>4.0220510000000003</v>
      </c>
      <c r="C2436">
        <f>LOG10(1.336559)</f>
        <v>0.12598813466672365</v>
      </c>
      <c r="D2436">
        <f>LOG10(4.022051)</f>
        <v>0.60444757319213804</v>
      </c>
    </row>
    <row r="2437" spans="1:4">
      <c r="A2437">
        <v>1.2022729999999999</v>
      </c>
      <c r="B2437">
        <v>3.9498129999999998</v>
      </c>
      <c r="C2437">
        <f>LOG10(1.202273)</f>
        <v>8.0003094065693794E-2</v>
      </c>
      <c r="D2437">
        <f>LOG10(3.949813)</f>
        <v>0.59657653486935591</v>
      </c>
    </row>
    <row r="2438" spans="1:4">
      <c r="A2438">
        <v>1.4301060000000001</v>
      </c>
      <c r="B2438">
        <v>3.7407180000000002</v>
      </c>
      <c r="C2438">
        <f>LOG10(1.430106)</f>
        <v>0.15536822873007286</v>
      </c>
      <c r="D2438">
        <f>LOG10(3.740718)</f>
        <v>0.5729549694491759</v>
      </c>
    </row>
    <row r="2439" spans="1:4">
      <c r="A2439">
        <v>1.5433840000000001</v>
      </c>
      <c r="B2439">
        <v>3.7979820000000002</v>
      </c>
      <c r="C2439">
        <f>LOG10(1.543384)</f>
        <v>0.18847399368008214</v>
      </c>
      <c r="D2439">
        <f>LOG10(3.797982)</f>
        <v>0.57955290212843458</v>
      </c>
    </row>
    <row r="2440" spans="1:4">
      <c r="A2440">
        <v>1.360412</v>
      </c>
      <c r="B2440">
        <v>3.8008690000000001</v>
      </c>
      <c r="C2440">
        <f>LOG10(1.360412)</f>
        <v>0.13367045412719264</v>
      </c>
      <c r="D2440">
        <f>LOG10(3.800869)</f>
        <v>0.57988290155323741</v>
      </c>
    </row>
    <row r="2441" spans="1:4">
      <c r="A2441">
        <v>1.5542579999999999</v>
      </c>
      <c r="B2441">
        <v>3.8030970000000002</v>
      </c>
      <c r="C2441">
        <f>LOG10(1.554258)</f>
        <v>0.19152311142505021</v>
      </c>
      <c r="D2441">
        <f>LOG10(3.803097)</f>
        <v>0.58013740246325485</v>
      </c>
    </row>
    <row r="2442" spans="1:4">
      <c r="A2442">
        <v>1.3854850000000001</v>
      </c>
      <c r="B2442">
        <v>3.878126</v>
      </c>
      <c r="C2442">
        <f>LOG10(1.385485)</f>
        <v>0.14160182823987258</v>
      </c>
      <c r="D2442">
        <f>LOG10(3.878126)</f>
        <v>0.58862191516449369</v>
      </c>
    </row>
    <row r="2443" spans="1:4">
      <c r="A2443">
        <v>1.2894049999999999</v>
      </c>
      <c r="B2443">
        <v>3.9808789999999998</v>
      </c>
      <c r="C2443">
        <f>LOG10(1.289405)</f>
        <v>0.11038934996706713</v>
      </c>
      <c r="D2443">
        <f>LOG10(3.980879)</f>
        <v>0.59997897727489591</v>
      </c>
    </row>
    <row r="2444" spans="1:4">
      <c r="A2444">
        <v>1.5071060000000001</v>
      </c>
      <c r="B2444">
        <v>3.9619140000000002</v>
      </c>
      <c r="C2444">
        <f>LOG10(1.507106)</f>
        <v>0.17814379882832493</v>
      </c>
      <c r="D2444">
        <f>LOG10(3.961914)</f>
        <v>0.59790504421343038</v>
      </c>
    </row>
    <row r="2445" spans="1:4">
      <c r="A2445">
        <v>1.476413</v>
      </c>
      <c r="B2445">
        <v>3.8814709999999999</v>
      </c>
      <c r="C2445">
        <f>LOG10(1.476413)</f>
        <v>0.16920786055735604</v>
      </c>
      <c r="D2445">
        <f>LOG10(3.881471)</f>
        <v>0.58899634572627468</v>
      </c>
    </row>
    <row r="2446" spans="1:4">
      <c r="A2446">
        <v>1.6267739999999999</v>
      </c>
      <c r="B2446">
        <v>3.9330340000000001</v>
      </c>
      <c r="C2446">
        <f>LOG10(1.626774)</f>
        <v>0.21132722265389015</v>
      </c>
      <c r="D2446">
        <f>LOG10(3.933034)</f>
        <v>0.59472770078263271</v>
      </c>
    </row>
    <row r="2447" spans="1:4">
      <c r="A2447">
        <v>1.6647110000000001</v>
      </c>
      <c r="B2447">
        <v>3.9326249999999998</v>
      </c>
      <c r="C2447">
        <f>LOG10(1.664711)</f>
        <v>0.22133884925420885</v>
      </c>
      <c r="D2447">
        <f>LOG10(3.932625)</f>
        <v>0.59468253573206065</v>
      </c>
    </row>
    <row r="2448" spans="1:4">
      <c r="A2448">
        <v>1.4765600000000001</v>
      </c>
      <c r="B2448">
        <v>4.0475680000000001</v>
      </c>
      <c r="C2448">
        <f>LOG10(1.47656)</f>
        <v>0.16925109921134479</v>
      </c>
      <c r="D2448">
        <f>LOG10(4.047568)</f>
        <v>0.6071941537260156</v>
      </c>
    </row>
    <row r="2449" spans="1:4">
      <c r="A2449">
        <v>1.362306</v>
      </c>
      <c r="B2449">
        <v>4.0660230000000004</v>
      </c>
      <c r="C2449">
        <f>LOG10(1.362306)</f>
        <v>0.13427466938665208</v>
      </c>
      <c r="D2449">
        <f>LOG10(4.066023)</f>
        <v>0.60916983095347887</v>
      </c>
    </row>
    <row r="2450" spans="1:4">
      <c r="A2450">
        <v>1.321102</v>
      </c>
      <c r="B2450">
        <v>3.5270670000000002</v>
      </c>
      <c r="C2450">
        <f>LOG10(1.321102)</f>
        <v>0.12093635003468066</v>
      </c>
      <c r="D2450">
        <f>LOG10(3.527067)</f>
        <v>0.54741370958354185</v>
      </c>
    </row>
    <row r="2451" spans="1:4">
      <c r="A2451">
        <v>1.0204549999999999</v>
      </c>
      <c r="B2451">
        <v>4.2973600000000003</v>
      </c>
      <c r="C2451">
        <f>LOG10(1.020455)</f>
        <v>8.7938579667504752E-3</v>
      </c>
      <c r="D2451">
        <f>LOG10(4.29736)</f>
        <v>0.6332017370826849</v>
      </c>
    </row>
    <row r="2452" spans="1:4">
      <c r="A2452">
        <v>1.018859</v>
      </c>
      <c r="B2452">
        <v>4.4391819999999997</v>
      </c>
      <c r="C2452">
        <f>LOG10(1.018859)</f>
        <v>8.1140861075569507E-3</v>
      </c>
      <c r="D2452">
        <f>LOG10(4.439182)</f>
        <v>0.64730295083194223</v>
      </c>
    </row>
    <row r="2453" spans="1:4">
      <c r="A2453">
        <v>1.020073</v>
      </c>
      <c r="B2453">
        <v>4.558656</v>
      </c>
      <c r="C2453">
        <f>LOG10(1.020073)</f>
        <v>8.631252509706951E-3</v>
      </c>
      <c r="D2453">
        <f>LOG10(4.558656)</f>
        <v>0.65883682121304898</v>
      </c>
    </row>
    <row r="2454" spans="1:4">
      <c r="A2454">
        <v>1.0225820000000001</v>
      </c>
      <c r="B2454">
        <v>4.8679800000000002</v>
      </c>
      <c r="C2454">
        <f>LOG10(1.022582)</f>
        <v>9.698143789035843E-3</v>
      </c>
      <c r="D2454">
        <f>LOG10(4.86798)</f>
        <v>0.68734878527136323</v>
      </c>
    </row>
    <row r="2455" spans="1:4">
      <c r="A2455">
        <v>1.0168729999999999</v>
      </c>
      <c r="B2455">
        <v>4.4444489999999996</v>
      </c>
      <c r="C2455">
        <f>LOG10(1.016873)</f>
        <v>7.2667161053293168E-3</v>
      </c>
      <c r="D2455">
        <f>LOG10(4.444449)</f>
        <v>0.64781792704025332</v>
      </c>
    </row>
    <row r="2456" spans="1:4">
      <c r="A2456">
        <v>1.0157799999999999</v>
      </c>
      <c r="B2456">
        <v>4.3905060000000002</v>
      </c>
      <c r="C2456">
        <f>LOG10(1.01578)</f>
        <v>6.7996576211995672E-3</v>
      </c>
      <c r="D2456">
        <f>LOG10(4.390506)</f>
        <v>0.64251457499023867</v>
      </c>
    </row>
    <row r="2457" spans="1:4">
      <c r="A2457">
        <v>1.0246200000000001</v>
      </c>
      <c r="B2457">
        <v>4.6228740000000004</v>
      </c>
      <c r="C2457">
        <f>LOG10(1.02462)</f>
        <v>1.0562828804489518E-2</v>
      </c>
      <c r="D2457">
        <f>LOG10(4.622874)</f>
        <v>0.66491205656798746</v>
      </c>
    </row>
    <row r="2458" spans="1:4">
      <c r="A2458">
        <v>1.0201370000000001</v>
      </c>
      <c r="B2458">
        <v>4.089118</v>
      </c>
      <c r="C2458">
        <f>LOG10(1.020137)</f>
        <v>8.6584995547179574E-3</v>
      </c>
      <c r="D2458">
        <f>LOG10(4.089118)</f>
        <v>0.6116296432052144</v>
      </c>
    </row>
    <row r="2459" spans="1:4">
      <c r="A2459">
        <v>1.022756</v>
      </c>
      <c r="B2459">
        <v>4.0592389999999998</v>
      </c>
      <c r="C2459">
        <f>LOG10(1.022756)</f>
        <v>9.7720359672806307E-3</v>
      </c>
      <c r="D2459">
        <f>LOG10(4.059239)</f>
        <v>0.60844462247408548</v>
      </c>
    </row>
    <row r="2460" spans="1:4">
      <c r="A2460">
        <v>1.016637</v>
      </c>
      <c r="B2460">
        <v>4.1350420000000003</v>
      </c>
      <c r="C2460">
        <f>LOG10(1.016637)</f>
        <v>7.1659115868472024E-3</v>
      </c>
      <c r="D2460">
        <f>LOG10(4.135042)</f>
        <v>0.61647992507976379</v>
      </c>
    </row>
    <row r="2461" spans="1:4">
      <c r="A2461">
        <v>1.019218</v>
      </c>
      <c r="B2461">
        <v>3.8289689999999998</v>
      </c>
      <c r="C2461">
        <f>LOG10(1.019218)</f>
        <v>8.2670849595294586E-3</v>
      </c>
      <c r="D2461">
        <f>LOG10(3.828969)</f>
        <v>0.58308185023814496</v>
      </c>
    </row>
    <row r="2462" spans="1:4">
      <c r="A2462">
        <v>1.021139</v>
      </c>
      <c r="B2462">
        <v>3.9043199999999998</v>
      </c>
      <c r="C2462">
        <f>LOG10(1.021139)</f>
        <v>9.0848633642354303E-3</v>
      </c>
      <c r="D2462">
        <f>LOG10(3.90432)</f>
        <v>0.5915454054441559</v>
      </c>
    </row>
    <row r="2463" spans="1:4">
      <c r="A2463">
        <v>1.0220530000000001</v>
      </c>
      <c r="B2463">
        <v>3.9346869999999998</v>
      </c>
      <c r="C2463">
        <f>LOG10(1.022053)</f>
        <v>9.4734173356071823E-3</v>
      </c>
      <c r="D2463">
        <f>LOG10(3.934687)</f>
        <v>0.59491019042331739</v>
      </c>
    </row>
    <row r="2464" spans="1:4">
      <c r="A2464">
        <v>1.0204390000000001</v>
      </c>
      <c r="B2464">
        <v>3.9489429999999999</v>
      </c>
      <c r="C2464">
        <f>LOG10(1.020439)</f>
        <v>8.7870484884429254E-3</v>
      </c>
      <c r="D2464">
        <f>LOG10(3.948943)</f>
        <v>0.59648086507001441</v>
      </c>
    </row>
    <row r="2465" spans="1:4">
      <c r="A2465">
        <v>1.016777</v>
      </c>
      <c r="B2465">
        <v>3.9842879999999998</v>
      </c>
      <c r="C2465">
        <f>LOG10(1.016777)</f>
        <v>7.2257137004969945E-3</v>
      </c>
      <c r="D2465">
        <f>LOG10(3.984288)</f>
        <v>0.60035072339878892</v>
      </c>
    </row>
    <row r="2466" spans="1:4">
      <c r="A2466">
        <v>1.01678</v>
      </c>
      <c r="B2466">
        <v>4.0035660000000002</v>
      </c>
      <c r="C2466">
        <f>LOG10(1.01678)</f>
        <v>7.2269950842454708E-3</v>
      </c>
      <c r="D2466">
        <f>LOG10(4.003566)</f>
        <v>0.60244699237848098</v>
      </c>
    </row>
    <row r="2467" spans="1:4">
      <c r="A2467">
        <v>1.0193760000000001</v>
      </c>
      <c r="B2467">
        <v>4.1773199999999999</v>
      </c>
      <c r="C2467">
        <f>LOG10(1.019376)</f>
        <v>8.3344044240997988E-3</v>
      </c>
      <c r="D2467">
        <f>LOG10(4.17732)</f>
        <v>0.62089774529410657</v>
      </c>
    </row>
    <row r="2468" spans="1:4">
      <c r="A2468">
        <v>1.0199009999999999</v>
      </c>
      <c r="B2468">
        <v>4.4506680000000003</v>
      </c>
      <c r="C2468">
        <f>LOG10(1.019901)</f>
        <v>8.5580176046891453E-3</v>
      </c>
      <c r="D2468">
        <f>LOG10(4.450668)</f>
        <v>0.64842519905770435</v>
      </c>
    </row>
    <row r="2469" spans="1:4">
      <c r="A2469">
        <v>1.0237400000000001</v>
      </c>
      <c r="B2469">
        <v>4.5458569999999998</v>
      </c>
      <c r="C2469">
        <f>LOG10(1.02374)</f>
        <v>1.0189672555014481E-2</v>
      </c>
      <c r="D2469">
        <f>LOG10(4.545857)</f>
        <v>0.6576157699090327</v>
      </c>
    </row>
    <row r="2470" spans="1:4">
      <c r="A2470">
        <v>1.0143500000000001</v>
      </c>
      <c r="B2470">
        <v>4.5217799999999997</v>
      </c>
      <c r="C2470">
        <f>LOG10(1.01435)</f>
        <v>6.1878335391613304E-3</v>
      </c>
      <c r="D2470">
        <f>LOG10(4.52178)</f>
        <v>0.65530942861741903</v>
      </c>
    </row>
    <row r="2471" spans="1:4">
      <c r="A2471">
        <v>1.022113</v>
      </c>
      <c r="B2471">
        <v>4.5671720000000002</v>
      </c>
      <c r="C2471">
        <f>LOG10(1.022113)</f>
        <v>9.4989120057285478E-3</v>
      </c>
      <c r="D2471">
        <f>LOG10(4.567172)</f>
        <v>0.65964736747393549</v>
      </c>
    </row>
    <row r="2472" spans="1:4">
      <c r="A2472">
        <v>1.775555</v>
      </c>
      <c r="B2472">
        <v>4.5851300000000004</v>
      </c>
      <c r="C2472">
        <f>LOG10(1.775555)</f>
        <v>0.24933412965174226</v>
      </c>
      <c r="D2472">
        <f>LOG10(4.58513)</f>
        <v>0.66135165352452907</v>
      </c>
    </row>
    <row r="2473" spans="1:4">
      <c r="A2473">
        <v>1.018888</v>
      </c>
      <c r="B2473">
        <v>4.5318300000000002</v>
      </c>
      <c r="C2473">
        <f>LOG10(1.018888)</f>
        <v>8.1264473476677871E-3</v>
      </c>
      <c r="D2473">
        <f>LOG10(4.53183)</f>
        <v>0.65627361005131568</v>
      </c>
    </row>
    <row r="2474" spans="1:4">
      <c r="A2474">
        <v>1.027506</v>
      </c>
      <c r="B2474">
        <v>4.3892350000000002</v>
      </c>
      <c r="C2474">
        <f>LOG10(1.027506)</f>
        <v>1.1784366566874099E-2</v>
      </c>
      <c r="D2474">
        <f>LOG10(4.389235)</f>
        <v>0.64238883362945032</v>
      </c>
    </row>
    <row r="2475" spans="1:4">
      <c r="A2475">
        <v>1.0197959999999999</v>
      </c>
      <c r="B2475">
        <v>4.3268529999999998</v>
      </c>
      <c r="C2475">
        <f>LOG10(1.019796)</f>
        <v>8.5133041784889486E-3</v>
      </c>
      <c r="D2475">
        <f>LOG10(4.326853)</f>
        <v>0.6361721407791967</v>
      </c>
    </row>
    <row r="2476" spans="1:4">
      <c r="A2476">
        <v>1.0241</v>
      </c>
      <c r="B2476">
        <v>4.3286660000000001</v>
      </c>
      <c r="C2476">
        <f>LOG10(1.0241)</f>
        <v>1.0342366139567669E-2</v>
      </c>
      <c r="D2476">
        <f>LOG10(4.328666)</f>
        <v>0.63635407693050217</v>
      </c>
    </row>
    <row r="2477" spans="1:4">
      <c r="A2477">
        <v>1.0181279999999999</v>
      </c>
      <c r="B2477">
        <v>4.5025899999999996</v>
      </c>
      <c r="C2477">
        <f>LOG10(1.018128)</f>
        <v>7.8023813397803277E-3</v>
      </c>
      <c r="D2477">
        <f>LOG10(4.50259)</f>
        <v>0.65346240247163279</v>
      </c>
    </row>
    <row r="2478" spans="1:4">
      <c r="A2478">
        <v>1.0263910000000001</v>
      </c>
      <c r="B2478">
        <v>4.6103959999999997</v>
      </c>
      <c r="C2478">
        <f>LOG10(1.026391)</f>
        <v>1.1312835234103452E-2</v>
      </c>
      <c r="D2478">
        <f>LOG10(4.610396)</f>
        <v>0.66373822977764607</v>
      </c>
    </row>
    <row r="2479" spans="1:4">
      <c r="A2479">
        <v>1.0181610000000001</v>
      </c>
      <c r="B2479">
        <v>4.4653840000000002</v>
      </c>
      <c r="C2479">
        <f>LOG10(1.018161)</f>
        <v>7.8164576500723698E-3</v>
      </c>
      <c r="D2479">
        <f>LOG10(4.465384)</f>
        <v>0.64985881191666039</v>
      </c>
    </row>
    <row r="2480" spans="1:4">
      <c r="A2480">
        <v>1.024356</v>
      </c>
      <c r="B2480">
        <v>4.5028269999999999</v>
      </c>
      <c r="C2480">
        <f>LOG10(1.024356)</f>
        <v>1.0450915591394848E-2</v>
      </c>
      <c r="D2480">
        <f>LOG10(4.502827)</f>
        <v>0.65348526155572295</v>
      </c>
    </row>
    <row r="2481" spans="1:4">
      <c r="A2481">
        <v>1.0289950000000001</v>
      </c>
      <c r="B2481">
        <v>4.3770720000000001</v>
      </c>
      <c r="C2481">
        <f>LOG10(1.028995)</f>
        <v>1.2413264482855501E-2</v>
      </c>
      <c r="D2481">
        <f>LOG10(4.377072)</f>
        <v>0.6411836905348679</v>
      </c>
    </row>
    <row r="2482" spans="1:4">
      <c r="A2482">
        <v>1.020416</v>
      </c>
      <c r="B2482">
        <v>4.0709470000000003</v>
      </c>
      <c r="C2482">
        <f>LOG10(1.020416)</f>
        <v>8.7772596763183563E-3</v>
      </c>
      <c r="D2482">
        <f>LOG10(4.070947)</f>
        <v>0.60969544829996591</v>
      </c>
    </row>
    <row r="2483" spans="1:4">
      <c r="A2483">
        <v>1.023336</v>
      </c>
      <c r="B2483">
        <v>3.873021</v>
      </c>
      <c r="C2483">
        <f>LOG10(1.023336)</f>
        <v>1.0018252468054475E-2</v>
      </c>
      <c r="D2483">
        <f>LOG10(3.873021)</f>
        <v>0.58804985179098712</v>
      </c>
    </row>
    <row r="2484" spans="1:4">
      <c r="A2484">
        <v>1.024777</v>
      </c>
      <c r="B2484">
        <v>3.7885260000000001</v>
      </c>
      <c r="C2484">
        <f>LOG10(1.024777)</f>
        <v>1.0629369580915149E-2</v>
      </c>
      <c r="D2484">
        <f>LOG10(3.788526)</f>
        <v>0.57847027208374036</v>
      </c>
    </row>
    <row r="2485" spans="1:4">
      <c r="A2485">
        <v>1.0372939999999999</v>
      </c>
      <c r="B2485">
        <v>3.8254090000000001</v>
      </c>
      <c r="C2485">
        <f>LOG10(1.037294)</f>
        <v>1.5901865821488365E-2</v>
      </c>
      <c r="D2485">
        <f>LOG10(3.825409)</f>
        <v>0.58267787529281179</v>
      </c>
    </row>
    <row r="2486" spans="1:4">
      <c r="A2486">
        <v>1.0182329999999999</v>
      </c>
      <c r="B2486">
        <v>3.8038249999999998</v>
      </c>
      <c r="C2486">
        <f>LOG10(1.018233)</f>
        <v>7.8471680162490523E-3</v>
      </c>
      <c r="D2486">
        <f>LOG10(3.803825)</f>
        <v>0.58022052843294158</v>
      </c>
    </row>
    <row r="2487" spans="1:4">
      <c r="A2487">
        <v>1.015512</v>
      </c>
      <c r="B2487">
        <v>3.6012179999999998</v>
      </c>
      <c r="C2487">
        <f>LOG10(1.015512)</f>
        <v>6.6850596984731614E-3</v>
      </c>
      <c r="D2487">
        <f>LOG10(3.601218)</f>
        <v>0.55644941221587896</v>
      </c>
    </row>
    <row r="2488" spans="1:4">
      <c r="A2488">
        <v>1.0145109999999999</v>
      </c>
      <c r="B2488">
        <v>3.82429</v>
      </c>
      <c r="C2488">
        <f>LOG10(1.014511)</f>
        <v>6.2567603032256313E-3</v>
      </c>
      <c r="D2488">
        <f>LOG10(3.82429)</f>
        <v>0.58255081786775076</v>
      </c>
    </row>
    <row r="2489" spans="1:4">
      <c r="A2489">
        <v>1.0164329999999999</v>
      </c>
      <c r="B2489">
        <v>3.7678919999999998</v>
      </c>
      <c r="C2489">
        <f>LOG10(1.016433)</f>
        <v>7.0787566196245872E-3</v>
      </c>
      <c r="D2489">
        <f>LOG10(3.767892)</f>
        <v>0.57609844601143245</v>
      </c>
    </row>
    <row r="2490" spans="1:4">
      <c r="A2490">
        <v>1.0290429999999999</v>
      </c>
      <c r="B2490">
        <v>3.852071</v>
      </c>
      <c r="C2490">
        <f>LOG10(1.029043)</f>
        <v>1.2433522743524215E-2</v>
      </c>
      <c r="D2490">
        <f>LOG10(3.852071)</f>
        <v>0.58569428328739936</v>
      </c>
    </row>
    <row r="2491" spans="1:4">
      <c r="A2491">
        <v>1.04339</v>
      </c>
      <c r="B2491">
        <v>4.0474740000000002</v>
      </c>
      <c r="C2491">
        <f>LOG10(1.04339)</f>
        <v>1.8446670065452649E-2</v>
      </c>
      <c r="D2491">
        <f>LOG10(4.047474)</f>
        <v>0.60718406763102051</v>
      </c>
    </row>
    <row r="2492" spans="1:4">
      <c r="A2492">
        <v>1.046276</v>
      </c>
      <c r="B2492">
        <v>3.9634990000000001</v>
      </c>
      <c r="C2492">
        <f>LOG10(1.046276)</f>
        <v>1.9646263370472209E-2</v>
      </c>
      <c r="D2492">
        <f>LOG10(3.963499)</f>
        <v>0.59807875295592594</v>
      </c>
    </row>
    <row r="2493" spans="1:4">
      <c r="A2493">
        <v>1.0264489999999999</v>
      </c>
      <c r="B2493">
        <v>3.9843320000000002</v>
      </c>
      <c r="C2493">
        <f>LOG10(1.026449)</f>
        <v>1.1337375948389071E-2</v>
      </c>
      <c r="D2493">
        <f>LOG10(3.984332)</f>
        <v>0.60035551945060328</v>
      </c>
    </row>
    <row r="2494" spans="1:4">
      <c r="A2494">
        <v>1.014948</v>
      </c>
      <c r="B2494">
        <v>3.9210150000000001</v>
      </c>
      <c r="C2494">
        <f>LOG10(1.014948)</f>
        <v>6.4437921097563024E-3</v>
      </c>
      <c r="D2494">
        <f>LOG10(3.921015)</f>
        <v>0.59339850371432767</v>
      </c>
    </row>
    <row r="2495" spans="1:4">
      <c r="A2495">
        <v>1.018694</v>
      </c>
      <c r="B2495">
        <v>4.0747359999999997</v>
      </c>
      <c r="C2495">
        <f>LOG10(1.018694)</f>
        <v>8.0437482172830178E-3</v>
      </c>
      <c r="D2495">
        <f>LOG10(4.074736)</f>
        <v>0.61009947627665306</v>
      </c>
    </row>
    <row r="2496" spans="1:4">
      <c r="A2496">
        <v>1.0129030000000001</v>
      </c>
      <c r="B2496">
        <v>4.0248179999999998</v>
      </c>
      <c r="C2496">
        <f>LOG10(1.012903)</f>
        <v>5.5678574216903188E-3</v>
      </c>
      <c r="D2496">
        <f>LOG10(4.024818)</f>
        <v>0.60474624659636245</v>
      </c>
    </row>
    <row r="2497" spans="1:4">
      <c r="A2497">
        <v>1.0118879999999999</v>
      </c>
      <c r="B2497">
        <v>4.3246099999999998</v>
      </c>
      <c r="C2497">
        <f>LOG10(1.011888)</f>
        <v>5.1324456324683982E-3</v>
      </c>
      <c r="D2497">
        <f>LOG10(4.32461)</f>
        <v>0.63594694822049658</v>
      </c>
    </row>
    <row r="2498" spans="1:4">
      <c r="A2498">
        <v>1.0150509999999999</v>
      </c>
      <c r="B2498">
        <v>4.1424139999999996</v>
      </c>
      <c r="C2498">
        <f>LOG10(1.015051)</f>
        <v>6.4878633941996998E-3</v>
      </c>
      <c r="D2498">
        <f>LOG10(4.142414)</f>
        <v>0.61725350086611352</v>
      </c>
    </row>
    <row r="2499" spans="1:4">
      <c r="A2499">
        <v>1.331496</v>
      </c>
      <c r="B2499">
        <v>3.9397950000000002</v>
      </c>
      <c r="C2499">
        <f>LOG10(1.331496)</f>
        <v>0.12433986609562322</v>
      </c>
      <c r="D2499">
        <f>LOG10(3.939795)</f>
        <v>0.59547362469739751</v>
      </c>
    </row>
    <row r="2500" spans="1:4">
      <c r="A2500">
        <v>1.553329</v>
      </c>
      <c r="B2500">
        <v>4.1414049999999998</v>
      </c>
      <c r="C2500">
        <f>LOG10(1.553329)</f>
        <v>0.19126345041751802</v>
      </c>
      <c r="D2500">
        <f>LOG10(4.141405)</f>
        <v>0.61714770349550285</v>
      </c>
    </row>
    <row r="2501" spans="1:4">
      <c r="A2501">
        <v>1.5683910000000001</v>
      </c>
      <c r="B2501">
        <v>4.1655490000000004</v>
      </c>
      <c r="C2501">
        <f>LOG10(1.568391)</f>
        <v>0.19545434149507063</v>
      </c>
      <c r="D2501">
        <f>LOG10(4.165549)</f>
        <v>0.61967224750944394</v>
      </c>
    </row>
    <row r="2502" spans="1:4">
      <c r="A2502">
        <v>1.5905039999999999</v>
      </c>
      <c r="B2502">
        <v>4.4249999999999998</v>
      </c>
      <c r="C2502">
        <f>LOG10(1.590504)</f>
        <v>0.20153476566327724</v>
      </c>
      <c r="D2502">
        <f>LOG10(4.425)</f>
        <v>0.64591327503384421</v>
      </c>
    </row>
    <row r="2503" spans="1:4">
      <c r="A2503">
        <v>1.624374</v>
      </c>
      <c r="B2503">
        <v>4.1165989999999999</v>
      </c>
      <c r="C2503">
        <f>LOG10(1.624374)</f>
        <v>0.21068602948403167</v>
      </c>
      <c r="D2503">
        <f>LOG10(4.116599)</f>
        <v>0.61453856421169795</v>
      </c>
    </row>
    <row r="2504" spans="1:4">
      <c r="A2504">
        <v>1.625078</v>
      </c>
      <c r="B2504">
        <v>4.4613199999999997</v>
      </c>
      <c r="C2504">
        <f>LOG10(1.625078)</f>
        <v>0.2108742109497333</v>
      </c>
      <c r="D2504">
        <f>LOG10(4.46132)</f>
        <v>0.649463375281505</v>
      </c>
    </row>
    <row r="2505" spans="1:4">
      <c r="A2505">
        <v>1.555518</v>
      </c>
      <c r="B2505">
        <v>4.2973140000000001</v>
      </c>
      <c r="C2505">
        <f>LOG10(1.555518)</f>
        <v>0.19187504100270633</v>
      </c>
      <c r="D2505">
        <f>LOG10(4.297314)</f>
        <v>0.63319708826269061</v>
      </c>
    </row>
    <row r="2506" spans="1:4">
      <c r="A2506">
        <v>1.5450189999999999</v>
      </c>
      <c r="B2506">
        <v>4.1492230000000001</v>
      </c>
      <c r="C2506">
        <f>LOG10(1.545019)</f>
        <v>0.18893382456630237</v>
      </c>
      <c r="D2506">
        <f>LOG10(4.149223)</f>
        <v>0.6179667766141933</v>
      </c>
    </row>
    <row r="2507" spans="1:4">
      <c r="A2507">
        <v>1.537803</v>
      </c>
      <c r="B2507">
        <v>4.0479399999999996</v>
      </c>
      <c r="C2507">
        <f>LOG10(1.537803)</f>
        <v>0.18690070380561352</v>
      </c>
      <c r="D2507">
        <f>LOG10(4.04794)</f>
        <v>0.60723406661286139</v>
      </c>
    </row>
    <row r="2508" spans="1:4">
      <c r="A2508">
        <v>1.470899</v>
      </c>
      <c r="B2508">
        <v>4.1764219999999996</v>
      </c>
      <c r="C2508">
        <f>LOG10(1.470899)</f>
        <v>0.16758285270808723</v>
      </c>
      <c r="D2508">
        <f>LOG10(4.176422)</f>
        <v>0.62080437481504425</v>
      </c>
    </row>
    <row r="2509" spans="1:4">
      <c r="A2509">
        <v>1.537995</v>
      </c>
      <c r="B2509">
        <v>3.9586610000000002</v>
      </c>
      <c r="C2509">
        <f>LOG10(1.537995)</f>
        <v>0.18695492358248686</v>
      </c>
      <c r="D2509">
        <f>LOG10(3.958661)</f>
        <v>0.59754831252941398</v>
      </c>
    </row>
    <row r="2510" spans="1:4">
      <c r="A2510">
        <v>1.3309059999999999</v>
      </c>
      <c r="B2510">
        <v>4.1733440000000002</v>
      </c>
      <c r="C2510">
        <f>LOG10(1.330906)</f>
        <v>0.12414738295557347</v>
      </c>
      <c r="D2510">
        <f>LOG10(4.173344)</f>
        <v>0.62048418417117501</v>
      </c>
    </row>
    <row r="2511" spans="1:4">
      <c r="A2511">
        <v>1.4358120000000001</v>
      </c>
      <c r="B2511">
        <v>3.8600150000000002</v>
      </c>
      <c r="C2511">
        <f>LOG10(1.435812)</f>
        <v>0.15709757868924198</v>
      </c>
      <c r="D2511">
        <f>LOG10(3.860015)</f>
        <v>0.58658899234133299</v>
      </c>
    </row>
    <row r="2512" spans="1:4">
      <c r="A2512">
        <v>1.4199059999999999</v>
      </c>
      <c r="B2512">
        <v>3.8965580000000002</v>
      </c>
      <c r="C2512">
        <f>LOG10(1.419906)</f>
        <v>0.15225959436012343</v>
      </c>
      <c r="D2512">
        <f>LOG10(3.896558)</f>
        <v>0.59068114506704816</v>
      </c>
    </row>
    <row r="2513" spans="1:4">
      <c r="A2513">
        <v>1.4899089999999999</v>
      </c>
      <c r="B2513">
        <v>3.9389370000000001</v>
      </c>
      <c r="C2513">
        <f>LOG10(1.489909)</f>
        <v>0.17315974357687436</v>
      </c>
      <c r="D2513">
        <f>LOG10(3.938937)</f>
        <v>0.59537903468800357</v>
      </c>
    </row>
    <row r="2514" spans="1:4">
      <c r="A2514">
        <v>1.4022730000000001</v>
      </c>
      <c r="B2514">
        <v>4.0414050000000001</v>
      </c>
      <c r="C2514">
        <f>LOG10(1.402273)</f>
        <v>0.14683257201274758</v>
      </c>
      <c r="D2514">
        <f>LOG10(4.041405)</f>
        <v>0.60653237443465735</v>
      </c>
    </row>
    <row r="2515" spans="1:4">
      <c r="A2515">
        <v>1.322004</v>
      </c>
      <c r="B2515">
        <v>4.2480969999999996</v>
      </c>
      <c r="C2515">
        <f>LOG10(1.322004)</f>
        <v>0.12123276920052876</v>
      </c>
      <c r="D2515">
        <f>LOG10(4.248097)</f>
        <v>0.62819442475980314</v>
      </c>
    </row>
    <row r="2516" spans="1:4">
      <c r="A2516">
        <v>1.3134440000000001</v>
      </c>
      <c r="B2516">
        <v>4.6068389999999999</v>
      </c>
      <c r="C2516">
        <f>LOG10(1.313444)</f>
        <v>0.11841156093674959</v>
      </c>
      <c r="D2516">
        <f>LOG10(4.606839)</f>
        <v>0.66340303477636531</v>
      </c>
    </row>
    <row r="2517" spans="1:4">
      <c r="A2517">
        <v>1.1640060000000001</v>
      </c>
      <c r="B2517">
        <v>4.6982780000000002</v>
      </c>
      <c r="C2517">
        <f>LOG10(1.164006)</f>
        <v>6.5955218939450083E-2</v>
      </c>
      <c r="D2517">
        <f>LOG10(4.698278)</f>
        <v>0.67193871067359001</v>
      </c>
    </row>
    <row r="2518" spans="1:4">
      <c r="A2518">
        <v>1.1892879999999999</v>
      </c>
      <c r="B2518">
        <v>4.7164820000000001</v>
      </c>
      <c r="C2518">
        <f>LOG10(1.189288)</f>
        <v>7.5287036843383864E-2</v>
      </c>
      <c r="D2518">
        <f>LOG10(4.716482)</f>
        <v>0.67361818133477669</v>
      </c>
    </row>
    <row r="2519" spans="1:4">
      <c r="A2519">
        <v>1.1900120000000001</v>
      </c>
      <c r="B2519">
        <v>4.7655709999999996</v>
      </c>
      <c r="C2519">
        <f>LOG10(1.190012)</f>
        <v>7.5551340810603371E-2</v>
      </c>
      <c r="D2519">
        <f>LOG10(4.765571)</f>
        <v>0.67811494428016716</v>
      </c>
    </row>
    <row r="2520" spans="1:4">
      <c r="A2520">
        <v>1.1448959999999999</v>
      </c>
      <c r="B2520">
        <v>4.6350720000000001</v>
      </c>
      <c r="C2520">
        <f>LOG10(1.144896)</f>
        <v>5.8766038049288795E-2</v>
      </c>
      <c r="D2520">
        <f>LOG10(4.635072)</f>
        <v>0.66605648475016677</v>
      </c>
    </row>
    <row r="2521" spans="1:4">
      <c r="A2521">
        <v>1.139758</v>
      </c>
      <c r="B2521">
        <v>4.8642700000000003</v>
      </c>
      <c r="C2521">
        <f>LOG10(1.139758)</f>
        <v>5.6812649212374049E-2</v>
      </c>
      <c r="D2521">
        <f>LOG10(4.86427)</f>
        <v>0.68701767322514407</v>
      </c>
    </row>
    <row r="2522" spans="1:4">
      <c r="A2522">
        <v>1.2029529999999999</v>
      </c>
      <c r="B2522">
        <v>4.8971169999999997</v>
      </c>
      <c r="C2522">
        <f>LOG10(1.202953)</f>
        <v>8.0248659559799096E-2</v>
      </c>
      <c r="D2522">
        <f>LOG10(4.897117)</f>
        <v>0.68994048013571496</v>
      </c>
    </row>
    <row r="2523" spans="1:4">
      <c r="A2523">
        <v>1.1675340000000001</v>
      </c>
      <c r="B2523">
        <v>4.6824719999999997</v>
      </c>
      <c r="C2523">
        <f>LOG10(1.167534)</f>
        <v>6.7269536602073202E-2</v>
      </c>
      <c r="D2523">
        <f>LOG10(4.682472)</f>
        <v>0.67047518908371895</v>
      </c>
    </row>
    <row r="2524" spans="1:4">
      <c r="A2524">
        <v>1.1750050000000001</v>
      </c>
      <c r="B2524">
        <v>4.5785450000000001</v>
      </c>
      <c r="C2524">
        <f>LOG10(1.175005)</f>
        <v>7.0039714665448186E-2</v>
      </c>
      <c r="D2524">
        <f>LOG10(4.578545)</f>
        <v>0.66072748698532091</v>
      </c>
    </row>
    <row r="2525" spans="1:4">
      <c r="A2525">
        <v>1.1369629999999999</v>
      </c>
      <c r="B2525">
        <v>4.7216459999999998</v>
      </c>
      <c r="C2525">
        <f>LOG10(1.136963)</f>
        <v>5.5746331743767037E-2</v>
      </c>
      <c r="D2525">
        <f>LOG10(4.721646)</f>
        <v>0.67409342323197141</v>
      </c>
    </row>
    <row r="2526" spans="1:4">
      <c r="A2526">
        <v>1.1125370000000001</v>
      </c>
      <c r="B2526">
        <v>4.8431920000000002</v>
      </c>
      <c r="C2526">
        <f>LOG10(1.112537)</f>
        <v>4.6314463364091257E-2</v>
      </c>
      <c r="D2526">
        <f>LOG10(4.843192)</f>
        <v>0.68513168624407916</v>
      </c>
    </row>
    <row r="2527" spans="1:4">
      <c r="A2527">
        <v>1.1894210000000001</v>
      </c>
      <c r="B2527">
        <v>4.6037100000000004</v>
      </c>
      <c r="C2527">
        <f>LOG10(1.189421)</f>
        <v>7.533560198199761E-2</v>
      </c>
      <c r="D2527">
        <f>LOG10(4.60371)</f>
        <v>0.66310795844896031</v>
      </c>
    </row>
    <row r="2528" spans="1:4">
      <c r="A2528">
        <v>1.1743749999999999</v>
      </c>
      <c r="B2528">
        <v>4.7011979999999998</v>
      </c>
      <c r="C2528">
        <f>LOG10(1.174375)</f>
        <v>6.9806797444600804E-2</v>
      </c>
      <c r="D2528">
        <f>LOG10(4.701198)</f>
        <v>0.67220854272123864</v>
      </c>
    </row>
    <row r="2529" spans="1:4">
      <c r="A2529">
        <v>1.2129639999999999</v>
      </c>
      <c r="B2529">
        <v>4.6121600000000003</v>
      </c>
      <c r="C2529">
        <f>LOG10(1.212964)</f>
        <v>8.3847911473861711E-2</v>
      </c>
      <c r="D2529">
        <f>LOG10(4.61216)</f>
        <v>0.66390436495219418</v>
      </c>
    </row>
    <row r="2530" spans="1:4">
      <c r="A2530">
        <v>1.3505499999999999</v>
      </c>
      <c r="B2530">
        <v>4.158989</v>
      </c>
      <c r="C2530">
        <f>LOG10(1.35055)</f>
        <v>0.13051066725144408</v>
      </c>
      <c r="D2530">
        <f>LOG10(4.158989)</f>
        <v>0.61898777171246466</v>
      </c>
    </row>
    <row r="2531" spans="1:4">
      <c r="A2531">
        <v>1.3954800000000001</v>
      </c>
      <c r="B2531">
        <v>3.93676</v>
      </c>
      <c r="C2531">
        <f>LOG10(1.39548)</f>
        <v>0.14472361656676325</v>
      </c>
      <c r="D2531">
        <f>LOG10(3.93676)</f>
        <v>0.59513893933868189</v>
      </c>
    </row>
    <row r="2532" spans="1:4">
      <c r="A2532">
        <v>1.4609829999999999</v>
      </c>
      <c r="B2532">
        <v>4.0007440000000001</v>
      </c>
      <c r="C2532">
        <f>LOG10(1.460983)</f>
        <v>0.16464516251256744</v>
      </c>
      <c r="D2532">
        <f>LOG10(4.000744)</f>
        <v>0.60214076259010185</v>
      </c>
    </row>
    <row r="2533" spans="1:4">
      <c r="A2533">
        <v>1.359712</v>
      </c>
      <c r="B2533">
        <v>4.0793249999999999</v>
      </c>
      <c r="C2533">
        <f>LOG10(1.359712)</f>
        <v>0.133446930387802</v>
      </c>
      <c r="D2533">
        <f>LOG10(4.079325)</f>
        <v>0.61058830695571353</v>
      </c>
    </row>
    <row r="2534" spans="1:4">
      <c r="A2534">
        <v>1.38906</v>
      </c>
      <c r="B2534">
        <v>4.2407779999999997</v>
      </c>
      <c r="C2534">
        <f>LOG10(1.38906)</f>
        <v>0.14272100535325974</v>
      </c>
      <c r="D2534">
        <f>LOG10(4.240778)</f>
        <v>0.62744553822285398</v>
      </c>
    </row>
    <row r="2535" spans="1:4">
      <c r="A2535">
        <v>1.546951</v>
      </c>
      <c r="B2535">
        <v>5.8957949999999997</v>
      </c>
      <c r="C2535">
        <f>LOG10(1.546951)</f>
        <v>0.18947655754769283</v>
      </c>
      <c r="D2535">
        <f>LOG10(5.895795)</f>
        <v>0.77054237445808638</v>
      </c>
    </row>
    <row r="2536" spans="1:4">
      <c r="A2536">
        <v>1.520389</v>
      </c>
      <c r="B2536">
        <v>6.1070320000000002</v>
      </c>
      <c r="C2536">
        <f>LOG10(1.520389)</f>
        <v>0.18195471882597372</v>
      </c>
      <c r="D2536">
        <f>LOG10(6.107032)</f>
        <v>0.78583019564463108</v>
      </c>
    </row>
    <row r="2537" spans="1:4">
      <c r="A2537">
        <v>1.562549</v>
      </c>
      <c r="B2537">
        <v>5.964512</v>
      </c>
      <c r="C2537">
        <f>LOG10(1.562549)</f>
        <v>0.1938336452775164</v>
      </c>
      <c r="D2537">
        <f>LOG10(5.964512)</f>
        <v>0.77557491667745349</v>
      </c>
    </row>
    <row r="2538" spans="1:4">
      <c r="A2538">
        <v>1.691838</v>
      </c>
      <c r="B2538">
        <v>5.7797369999999999</v>
      </c>
      <c r="C2538">
        <f>LOG10(1.691838)</f>
        <v>0.22835877532571416</v>
      </c>
      <c r="D2538">
        <f>LOG10(5.779737)</f>
        <v>0.761908076820631</v>
      </c>
    </row>
    <row r="2539" spans="1:4">
      <c r="A2539">
        <v>1.635319</v>
      </c>
      <c r="B2539">
        <v>5.647392</v>
      </c>
      <c r="C2539">
        <f>LOG10(1.635319)</f>
        <v>0.21360248263937917</v>
      </c>
      <c r="D2539">
        <f>LOG10(5.647392)</f>
        <v>0.75184793427986696</v>
      </c>
    </row>
    <row r="2540" spans="1:4">
      <c r="A2540">
        <v>1.5183310000000001</v>
      </c>
      <c r="B2540">
        <v>5.5022200000000003</v>
      </c>
      <c r="C2540">
        <f>LOG10(1.518331)</f>
        <v>0.18136645917690475</v>
      </c>
      <c r="D2540">
        <f>LOG10(5.50222)</f>
        <v>0.7405379511710527</v>
      </c>
    </row>
    <row r="2541" spans="1:4">
      <c r="A2541">
        <v>1.573696</v>
      </c>
      <c r="B2541">
        <v>5.5752069999999998</v>
      </c>
      <c r="C2541">
        <f>LOG10(1.573696)</f>
        <v>0.19692084093680293</v>
      </c>
      <c r="D2541">
        <f>LOG10(5.575207)</f>
        <v>0.74626099679442592</v>
      </c>
    </row>
    <row r="2542" spans="1:4">
      <c r="A2542">
        <v>1.565825</v>
      </c>
      <c r="B2542">
        <v>5.3378870000000003</v>
      </c>
      <c r="C2542">
        <f>LOG10(1.565825)</f>
        <v>0.19474322274030068</v>
      </c>
      <c r="D2542">
        <f>LOG10(5.337887)</f>
        <v>0.72736937578421668</v>
      </c>
    </row>
    <row r="2543" spans="1:4">
      <c r="A2543">
        <v>1.3956630000000001</v>
      </c>
      <c r="B2543">
        <v>5.0393879999999998</v>
      </c>
      <c r="C2543">
        <f>LOG10(1.395663)</f>
        <v>0.14478056520056823</v>
      </c>
      <c r="D2543">
        <f>LOG10(5.039388)</f>
        <v>0.70237779748493534</v>
      </c>
    </row>
    <row r="2544" spans="1:4">
      <c r="A2544">
        <v>1.3365039999999999</v>
      </c>
      <c r="B2544">
        <v>3.9782570000000002</v>
      </c>
      <c r="C2544">
        <f>LOG10(1.336504)</f>
        <v>0.12597026288704014</v>
      </c>
      <c r="D2544">
        <f>LOG10(3.978257)</f>
        <v>0.59969283562013753</v>
      </c>
    </row>
    <row r="2545" spans="1:4">
      <c r="A2545">
        <v>1.4592229999999999</v>
      </c>
      <c r="B2545">
        <v>4.1584500000000002</v>
      </c>
      <c r="C2545">
        <f>LOG10(1.459223)</f>
        <v>0.16412166630668384</v>
      </c>
      <c r="D2545">
        <f>LOG10(4.15845)</f>
        <v>0.61893148401956455</v>
      </c>
    </row>
    <row r="2546" spans="1:4">
      <c r="A2546">
        <v>1.768033</v>
      </c>
      <c r="B2546">
        <v>4.241263</v>
      </c>
      <c r="C2546">
        <f>LOG10(1.768033)</f>
        <v>0.24749036677668809</v>
      </c>
      <c r="D2546">
        <f>LOG10(4.241263)</f>
        <v>0.62749520382195978</v>
      </c>
    </row>
    <row r="2547" spans="1:4">
      <c r="A2547">
        <v>2.0721310000000002</v>
      </c>
      <c r="B2547">
        <v>2.721352</v>
      </c>
      <c r="C2547">
        <f>LOG10(2.072131)</f>
        <v>0.31641720801273154</v>
      </c>
      <c r="D2547">
        <f>LOG10(2.721352)</f>
        <v>0.43478472030619003</v>
      </c>
    </row>
    <row r="2548" spans="1:4">
      <c r="A2548">
        <v>1.01372</v>
      </c>
      <c r="B2548">
        <v>4.3590929999999997</v>
      </c>
      <c r="C2548">
        <f>LOG10(1.01372)</f>
        <v>5.9180149112048608E-3</v>
      </c>
      <c r="D2548">
        <f>LOG10(4.359093)</f>
        <v>0.63939613466484291</v>
      </c>
    </row>
    <row r="2549" spans="1:4">
      <c r="A2549">
        <v>1.0159320000000001</v>
      </c>
      <c r="B2549">
        <v>4.1938890000000004</v>
      </c>
      <c r="C2549">
        <f>LOG10(1.015932)</f>
        <v>6.864640021630849E-3</v>
      </c>
      <c r="D2549">
        <f>LOG10(4.193889)</f>
        <v>0.62261693177419142</v>
      </c>
    </row>
    <row r="2550" spans="1:4">
      <c r="A2550">
        <v>1.0122990000000001</v>
      </c>
      <c r="B2550">
        <v>4.4889530000000004</v>
      </c>
      <c r="C2550">
        <f>LOG10(1.012299)</f>
        <v>5.3088078307388627E-3</v>
      </c>
      <c r="D2550">
        <f>LOG10(4.488953)</f>
        <v>0.65214505829817626</v>
      </c>
    </row>
    <row r="2551" spans="1:4">
      <c r="A2551">
        <v>1.011172</v>
      </c>
      <c r="B2551">
        <v>4.4801289999999998</v>
      </c>
      <c r="C2551">
        <f>LOG10(1.011172)</f>
        <v>4.8250352125836816E-3</v>
      </c>
      <c r="D2551">
        <f>LOG10(4.480129)</f>
        <v>0.65129051917260505</v>
      </c>
    </row>
    <row r="2552" spans="1:4">
      <c r="A2552">
        <v>1.018624</v>
      </c>
      <c r="B2552">
        <v>4.2720640000000003</v>
      </c>
      <c r="C2552">
        <f>LOG10(1.018624)</f>
        <v>8.013904458237844E-3</v>
      </c>
      <c r="D2552">
        <f>LOG10(4.272064)</f>
        <v>0.63063775025613744</v>
      </c>
    </row>
    <row r="2553" spans="1:4">
      <c r="A2553">
        <v>1.016519</v>
      </c>
      <c r="B2553">
        <v>4.3454740000000003</v>
      </c>
      <c r="C2553">
        <f>LOG10(1.016519)</f>
        <v>7.1155005520597576E-3</v>
      </c>
      <c r="D2553">
        <f>LOG10(4.345474)</f>
        <v>0.63803715578048559</v>
      </c>
    </row>
    <row r="2554" spans="1:4">
      <c r="A2554">
        <v>1.01772</v>
      </c>
      <c r="B2554">
        <v>4.5088410000000003</v>
      </c>
      <c r="C2554">
        <f>LOG10(1.01772)</f>
        <v>7.6283092568068247E-3</v>
      </c>
      <c r="D2554">
        <f>LOG10(4.508841)</f>
        <v>0.65406492059374088</v>
      </c>
    </row>
    <row r="2555" spans="1:4">
      <c r="A2555">
        <v>1.0169250000000001</v>
      </c>
      <c r="B2555">
        <v>4.0308310000000001</v>
      </c>
      <c r="C2555">
        <f>LOG10(1.016925)</f>
        <v>7.2889241250677188E-3</v>
      </c>
      <c r="D2555">
        <f>LOG10(4.030831)</f>
        <v>0.60539458994018924</v>
      </c>
    </row>
    <row r="2556" spans="1:4">
      <c r="A2556">
        <v>1.064662</v>
      </c>
      <c r="B2556">
        <v>4.2408970000000004</v>
      </c>
      <c r="C2556">
        <f>LOG10(1.064662)</f>
        <v>2.7211753471007093E-2</v>
      </c>
      <c r="D2556">
        <f>LOG10(4.240897)</f>
        <v>0.62745772474104755</v>
      </c>
    </row>
    <row r="2557" spans="1:4">
      <c r="A2557">
        <v>1.0183009999999999</v>
      </c>
      <c r="B2557">
        <v>4.100231</v>
      </c>
      <c r="C2557">
        <f>LOG10(1.018301)</f>
        <v>7.8761702570958811E-3</v>
      </c>
      <c r="D2557">
        <f>LOG10(4.100231)</f>
        <v>0.61280832481712111</v>
      </c>
    </row>
    <row r="2558" spans="1:4">
      <c r="A2558">
        <v>1.01701</v>
      </c>
      <c r="B2558">
        <v>4.1511019999999998</v>
      </c>
      <c r="C2558">
        <f>LOG10(1.01701)</f>
        <v>7.325223250637827E-3</v>
      </c>
      <c r="D2558">
        <f>LOG10(4.151102)</f>
        <v>0.61816340490174482</v>
      </c>
    </row>
    <row r="2559" spans="1:4">
      <c r="A2559">
        <v>1.011325</v>
      </c>
      <c r="B2559">
        <v>4.1427949999999996</v>
      </c>
      <c r="C2559">
        <f>LOG10(1.011325)</f>
        <v>4.8907431526775177E-3</v>
      </c>
      <c r="D2559">
        <f>LOG10(4.142795)</f>
        <v>0.61729344341861203</v>
      </c>
    </row>
    <row r="2560" spans="1:4">
      <c r="A2560">
        <v>1.009819</v>
      </c>
      <c r="B2560">
        <v>3.8449059999999999</v>
      </c>
      <c r="C2560">
        <f>LOG10(1.009819)</f>
        <v>4.2435377969083157E-3</v>
      </c>
      <c r="D2560">
        <f>LOG10(3.844906)</f>
        <v>0.58488572666532446</v>
      </c>
    </row>
    <row r="2561" spans="1:4">
      <c r="A2561">
        <v>1.011835</v>
      </c>
      <c r="B2561">
        <v>3.9029020000000001</v>
      </c>
      <c r="C2561">
        <f>LOG10(1.011835)</f>
        <v>5.1096978477705186E-3</v>
      </c>
      <c r="D2561">
        <f>LOG10(3.902902)</f>
        <v>0.5913876464917116</v>
      </c>
    </row>
    <row r="2562" spans="1:4">
      <c r="A2562">
        <v>1.012399</v>
      </c>
      <c r="B2562">
        <v>4.0203620000000004</v>
      </c>
      <c r="C2562">
        <f>LOG10(1.012399)</f>
        <v>5.3517075108152337E-3</v>
      </c>
      <c r="D2562">
        <f>LOG10(4.020362)</f>
        <v>0.60426515943379999</v>
      </c>
    </row>
    <row r="2563" spans="1:4">
      <c r="A2563">
        <v>1.014745</v>
      </c>
      <c r="B2563">
        <v>3.9753250000000002</v>
      </c>
      <c r="C2563">
        <f>LOG10(1.014745)</f>
        <v>6.3569200752956216E-3</v>
      </c>
      <c r="D2563">
        <f>LOG10(3.975325)</f>
        <v>0.59937263989483514</v>
      </c>
    </row>
    <row r="2564" spans="1:4">
      <c r="A2564">
        <v>1.02562</v>
      </c>
      <c r="B2564">
        <v>4.3409079999999998</v>
      </c>
      <c r="C2564">
        <f>LOG10(1.02562)</f>
        <v>1.0986481173326783E-2</v>
      </c>
      <c r="D2564">
        <f>LOG10(4.340908)</f>
        <v>0.63758058161945763</v>
      </c>
    </row>
    <row r="2565" spans="1:4">
      <c r="A2565">
        <v>1.0279609999999999</v>
      </c>
      <c r="B2565">
        <v>4.5835689999999998</v>
      </c>
      <c r="C2565">
        <f>LOG10(1.027961)</f>
        <v>1.1976638194191393E-2</v>
      </c>
      <c r="D2565">
        <f>LOG10(4.583569)</f>
        <v>0.66120377350517157</v>
      </c>
    </row>
    <row r="2566" spans="1:4">
      <c r="A2566">
        <v>1.0216940000000001</v>
      </c>
      <c r="B2566">
        <v>4.6892490000000002</v>
      </c>
      <c r="C2566">
        <f>LOG10(1.021694)</f>
        <v>9.3208429508062716E-3</v>
      </c>
      <c r="D2566">
        <f>LOG10(4.689249)</f>
        <v>0.67110329446946015</v>
      </c>
    </row>
    <row r="2567" spans="1:4">
      <c r="A2567">
        <v>1.0236000000000001</v>
      </c>
      <c r="B2567">
        <v>4.6488569999999996</v>
      </c>
      <c r="C2567">
        <f>LOG10(1.0236)</f>
        <v>1.0130277215147886E-2</v>
      </c>
      <c r="D2567">
        <f>LOG10(4.648857)</f>
        <v>0.66734618738203921</v>
      </c>
    </row>
    <row r="2568" spans="1:4">
      <c r="A2568">
        <v>1.0197590000000001</v>
      </c>
      <c r="B2568">
        <v>4.4799709999999999</v>
      </c>
      <c r="C2568">
        <f>LOG10(1.019759)</f>
        <v>8.4975469218009792E-3</v>
      </c>
      <c r="D2568">
        <f>LOG10(4.479971)</f>
        <v>0.65127520270780048</v>
      </c>
    </row>
    <row r="2569" spans="1:4">
      <c r="A2569">
        <v>1.0195609999999999</v>
      </c>
      <c r="B2569">
        <v>4.6003590000000001</v>
      </c>
      <c r="C2569">
        <f>LOG10(1.019561)</f>
        <v>8.4132145878003245E-3</v>
      </c>
      <c r="D2569">
        <f>LOG10(4.600359)</f>
        <v>0.66279172421100307</v>
      </c>
    </row>
    <row r="2570" spans="1:4">
      <c r="A2570">
        <v>1.0207440000000001</v>
      </c>
      <c r="B2570">
        <v>4.4679120000000001</v>
      </c>
      <c r="C2570">
        <f>LOG10(1.020744)</f>
        <v>8.9168357911652337E-3</v>
      </c>
      <c r="D2570">
        <f>LOG10(4.467912)</f>
        <v>0.65010461066318315</v>
      </c>
    </row>
    <row r="2571" spans="1:4">
      <c r="A2571">
        <v>1.015412</v>
      </c>
      <c r="B2571">
        <v>4.3109599999999997</v>
      </c>
      <c r="C2571">
        <f>LOG10(1.015412)</f>
        <v>6.6422915316432674E-3</v>
      </c>
      <c r="D2571">
        <f>LOG10(4.31096)</f>
        <v>0.63457399319490648</v>
      </c>
    </row>
    <row r="2572" spans="1:4">
      <c r="A2572">
        <v>1.0162709999999999</v>
      </c>
      <c r="B2572">
        <v>4.310778</v>
      </c>
      <c r="C2572">
        <f>LOG10(1.016271)</f>
        <v>7.009532860319463E-3</v>
      </c>
      <c r="D2572">
        <f>LOG10(4.310778)</f>
        <v>0.63455565777443379</v>
      </c>
    </row>
    <row r="2573" spans="1:4">
      <c r="A2573">
        <v>1.032837</v>
      </c>
      <c r="B2573">
        <v>4.4976640000000003</v>
      </c>
      <c r="C2573">
        <f>LOG10(1.032837)</f>
        <v>1.40317875542621E-2</v>
      </c>
      <c r="D2573">
        <f>LOG10(4.497664)</f>
        <v>0.65298700814798971</v>
      </c>
    </row>
    <row r="2574" spans="1:4">
      <c r="A2574">
        <v>1.0183329999999999</v>
      </c>
      <c r="B2574">
        <v>4.6527830000000003</v>
      </c>
      <c r="C2574">
        <f>LOG10(1.018333)</f>
        <v>7.8898177003007587E-3</v>
      </c>
      <c r="D2574">
        <f>LOG10(4.652783)</f>
        <v>0.66771279805224415</v>
      </c>
    </row>
    <row r="2575" spans="1:4">
      <c r="A2575">
        <v>1.0375570000000001</v>
      </c>
      <c r="B2575">
        <v>4.5912110000000004</v>
      </c>
      <c r="C2575">
        <f>LOG10(1.037557)</f>
        <v>1.6011964762908577E-2</v>
      </c>
      <c r="D2575">
        <f>LOG10(4.591211)</f>
        <v>0.66192725225849991</v>
      </c>
    </row>
    <row r="2576" spans="1:4">
      <c r="A2576">
        <v>1.0188250000000001</v>
      </c>
      <c r="B2576">
        <v>4.5064219999999997</v>
      </c>
      <c r="C2576">
        <f>LOG10(1.018825)</f>
        <v>8.0995931710800256E-3</v>
      </c>
      <c r="D2576">
        <f>LOG10(4.506422)</f>
        <v>0.65383185842418756</v>
      </c>
    </row>
    <row r="2577" spans="1:4">
      <c r="A2577">
        <v>1.0226820000000001</v>
      </c>
      <c r="B2577">
        <v>4.5823489999999998</v>
      </c>
      <c r="C2577">
        <f>LOG10(1.022682)</f>
        <v>9.740612094569924E-3</v>
      </c>
      <c r="D2577">
        <f>LOG10(4.582349)</f>
        <v>0.66108816276742532</v>
      </c>
    </row>
    <row r="2578" spans="1:4">
      <c r="A2578">
        <v>1.015944</v>
      </c>
      <c r="B2578">
        <v>4.369415</v>
      </c>
      <c r="C2578">
        <f>LOG10(1.015944)</f>
        <v>6.8697697970530273E-3</v>
      </c>
      <c r="D2578">
        <f>LOG10(4.369415)</f>
        <v>0.64042329525903896</v>
      </c>
    </row>
    <row r="2579" spans="1:4">
      <c r="A2579">
        <v>1.018664</v>
      </c>
      <c r="B2579">
        <v>3.8201429999999998</v>
      </c>
      <c r="C2579">
        <f>LOG10(1.018664)</f>
        <v>8.0309582859523151E-3</v>
      </c>
      <c r="D2579">
        <f>LOG10(3.820143)</f>
        <v>0.58207962022807558</v>
      </c>
    </row>
    <row r="2580" spans="1:4">
      <c r="A2580">
        <v>1.0193239999999999</v>
      </c>
      <c r="B2580">
        <v>3.8019919999999998</v>
      </c>
      <c r="C2580">
        <f>LOG10(1.019324)</f>
        <v>8.312249802955014E-3</v>
      </c>
      <c r="D2580">
        <f>LOG10(3.801992)</f>
        <v>0.58001119870525009</v>
      </c>
    </row>
    <row r="2581" spans="1:4">
      <c r="A2581">
        <v>1.017514</v>
      </c>
      <c r="B2581">
        <v>3.6920829999999998</v>
      </c>
      <c r="C2581">
        <f>LOG10(1.017514)</f>
        <v>7.5403934067595517E-3</v>
      </c>
      <c r="D2581">
        <f>LOG10(3.692083)</f>
        <v>0.56727145563578751</v>
      </c>
    </row>
    <row r="2582" spans="1:4">
      <c r="A2582">
        <v>1.01339</v>
      </c>
      <c r="B2582">
        <v>3.8698450000000002</v>
      </c>
      <c r="C2582">
        <f>LOG10(1.01339)</f>
        <v>5.7766144146416789E-3</v>
      </c>
      <c r="D2582">
        <f>LOG10(3.869845)</f>
        <v>0.58769357044713277</v>
      </c>
    </row>
    <row r="2583" spans="1:4">
      <c r="A2583">
        <v>1.021965</v>
      </c>
      <c r="B2583">
        <v>4.0143940000000002</v>
      </c>
      <c r="C2583">
        <f>LOG10(1.021965)</f>
        <v>9.4360224453164526E-3</v>
      </c>
      <c r="D2583">
        <f>LOG10(4.014394)</f>
        <v>0.6036199948651052</v>
      </c>
    </row>
    <row r="2584" spans="1:4">
      <c r="A2584">
        <v>1.0197909999999999</v>
      </c>
      <c r="B2584">
        <v>4.9298460000000004</v>
      </c>
      <c r="C2584">
        <f>LOG10(1.019791)</f>
        <v>8.511174852885741E-3</v>
      </c>
      <c r="D2584">
        <f>LOG10(4.929846)</f>
        <v>0.69283335286854197</v>
      </c>
    </row>
    <row r="2585" spans="1:4">
      <c r="A2585">
        <v>1.0142389999999999</v>
      </c>
      <c r="B2585">
        <v>4.7364160000000002</v>
      </c>
      <c r="C2585">
        <f>LOG10(1.014239)</f>
        <v>6.1403062307322145E-3</v>
      </c>
      <c r="D2585">
        <f>LOG10(4.736416)</f>
        <v>0.67544983952784032</v>
      </c>
    </row>
    <row r="2586" spans="1:4">
      <c r="A2586">
        <v>1.0208569999999999</v>
      </c>
      <c r="B2586">
        <v>4.658112</v>
      </c>
      <c r="C2586">
        <f>LOG10(1.020857)</f>
        <v>8.9649110776733199E-3</v>
      </c>
      <c r="D2586">
        <f>LOG10(4.658112)</f>
        <v>0.66820992653382827</v>
      </c>
    </row>
    <row r="2587" spans="1:4">
      <c r="A2587">
        <v>1.0247550000000001</v>
      </c>
      <c r="B2587">
        <v>4.4423050000000002</v>
      </c>
      <c r="C2587">
        <f>LOG10(1.024755)</f>
        <v>1.0620046009873346E-2</v>
      </c>
      <c r="D2587">
        <f>LOG10(4.442305)</f>
        <v>0.64760837304848851</v>
      </c>
    </row>
    <row r="2588" spans="1:4">
      <c r="A2588">
        <v>1.017709</v>
      </c>
      <c r="B2588">
        <v>4.4331459999999998</v>
      </c>
      <c r="C2588">
        <f>LOG10(1.017709)</f>
        <v>7.6236151708908096E-3</v>
      </c>
      <c r="D2588">
        <f>LOG10(4.433146)</f>
        <v>0.6467120344687981</v>
      </c>
    </row>
    <row r="2589" spans="1:4">
      <c r="A2589">
        <v>1.018697</v>
      </c>
      <c r="B2589">
        <v>4.5448300000000001</v>
      </c>
      <c r="C2589">
        <f>LOG10(1.018697)</f>
        <v>8.0450271896998979E-3</v>
      </c>
      <c r="D2589">
        <f>LOG10(4.54483)</f>
        <v>0.65751764301613402</v>
      </c>
    </row>
    <row r="2590" spans="1:4">
      <c r="A2590">
        <v>1.0178020000000001</v>
      </c>
      <c r="B2590">
        <v>4.4618479999999998</v>
      </c>
      <c r="C2590">
        <f>LOG10(1.017802)</f>
        <v>7.6632999349084529E-3</v>
      </c>
      <c r="D2590">
        <f>LOG10(4.461848)</f>
        <v>0.64951477126255408</v>
      </c>
    </row>
    <row r="2591" spans="1:4">
      <c r="A2591">
        <v>1.0144470000000001</v>
      </c>
      <c r="B2591">
        <v>4.3158050000000001</v>
      </c>
      <c r="C2591">
        <f>LOG10(1.014447)</f>
        <v>6.2293621541747802E-3</v>
      </c>
      <c r="D2591">
        <f>LOG10(4.315805)</f>
        <v>0.63506181382895732</v>
      </c>
    </row>
    <row r="2592" spans="1:4">
      <c r="A2592">
        <v>1.0111779999999999</v>
      </c>
      <c r="B2592">
        <v>4.3986289999999997</v>
      </c>
      <c r="C2592">
        <f>LOG10(1.011178)</f>
        <v>4.8276121818436072E-3</v>
      </c>
      <c r="D2592">
        <f>LOG10(4.398629)</f>
        <v>0.64331733318679196</v>
      </c>
    </row>
    <row r="2593" spans="1:4">
      <c r="A2593">
        <v>1.0124610000000001</v>
      </c>
      <c r="B2593">
        <v>4.0548799999999998</v>
      </c>
      <c r="C2593">
        <f>LOG10(1.012461)</f>
        <v>5.3783031844780249E-3</v>
      </c>
      <c r="D2593">
        <f>LOG10(4.05488)</f>
        <v>0.6079780062391672</v>
      </c>
    </row>
    <row r="2594" spans="1:4">
      <c r="A2594">
        <v>1.015131</v>
      </c>
      <c r="B2594">
        <v>4.3968530000000001</v>
      </c>
      <c r="C2594">
        <f>LOG10(1.015131)</f>
        <v>6.5220904325344678E-3</v>
      </c>
      <c r="D2594">
        <f>LOG10(4.396853)</f>
        <v>0.64314194609365871</v>
      </c>
    </row>
    <row r="2595" spans="1:4">
      <c r="A2595">
        <v>1.546902</v>
      </c>
      <c r="B2595">
        <v>4.2438149999999997</v>
      </c>
      <c r="C2595">
        <f>LOG10(1.546902)</f>
        <v>0.18946280096028223</v>
      </c>
      <c r="D2595">
        <f>LOG10(4.243815)</f>
        <v>0.62775644350678905</v>
      </c>
    </row>
    <row r="2596" spans="1:4">
      <c r="A2596">
        <v>1.3115779999999999</v>
      </c>
      <c r="B2596">
        <v>4.124619</v>
      </c>
      <c r="C2596">
        <f>LOG10(1.311578)</f>
        <v>0.11779412333833601</v>
      </c>
      <c r="D2596">
        <f>LOG10(4.124619)</f>
        <v>0.61538383801573648</v>
      </c>
    </row>
    <row r="2597" spans="1:4">
      <c r="A2597">
        <v>1.21522</v>
      </c>
      <c r="B2597">
        <v>4.4463790000000003</v>
      </c>
      <c r="C2597">
        <f>LOG10(1.21522)</f>
        <v>8.4654908499695203E-2</v>
      </c>
      <c r="D2597">
        <f>LOG10(4.446379)</f>
        <v>0.64800647828952718</v>
      </c>
    </row>
    <row r="2598" spans="1:4">
      <c r="A2598">
        <v>1.272095</v>
      </c>
      <c r="B2598">
        <v>4.2248809999999999</v>
      </c>
      <c r="C2598">
        <f>LOG10(1.272095)</f>
        <v>0.1045195456167744</v>
      </c>
      <c r="D2598">
        <f>LOG10(4.224881)</f>
        <v>0.62581448091383518</v>
      </c>
    </row>
    <row r="2599" spans="1:4">
      <c r="A2599">
        <v>1.2140610000000001</v>
      </c>
      <c r="B2599">
        <v>4.2534049999999999</v>
      </c>
      <c r="C2599">
        <f>LOG10(1.214061)</f>
        <v>8.4240508236640768E-2</v>
      </c>
      <c r="D2599">
        <f>LOG10(4.253405)</f>
        <v>0.62873673726163859</v>
      </c>
    </row>
    <row r="2600" spans="1:4">
      <c r="A2600">
        <v>1.2276560000000001</v>
      </c>
      <c r="B2600">
        <v>4.5036069999999997</v>
      </c>
      <c r="C2600">
        <f>LOG10(1.227656)</f>
        <v>8.9076690721241414E-2</v>
      </c>
      <c r="D2600">
        <f>LOG10(4.503607)</f>
        <v>0.6535604854893533</v>
      </c>
    </row>
    <row r="2601" spans="1:4">
      <c r="A2601">
        <v>1.241884</v>
      </c>
      <c r="B2601">
        <v>3.9587479999999999</v>
      </c>
      <c r="C2601">
        <f>LOG10(1.241884)</f>
        <v>9.4081031820713909E-2</v>
      </c>
      <c r="D2601">
        <f>LOG10(3.958748)</f>
        <v>0.5975578569700073</v>
      </c>
    </row>
    <row r="2602" spans="1:4">
      <c r="A2602">
        <v>1.253865</v>
      </c>
      <c r="B2602">
        <v>4.0761520000000004</v>
      </c>
      <c r="C2602">
        <f>LOG10(1.253865)</f>
        <v>9.8250779787208545E-2</v>
      </c>
      <c r="D2602">
        <f>LOG10(4.076152)</f>
        <v>0.61025037050868314</v>
      </c>
    </row>
    <row r="2603" spans="1:4">
      <c r="A2603">
        <v>1.280475</v>
      </c>
      <c r="B2603">
        <v>4.0686390000000001</v>
      </c>
      <c r="C2603">
        <f>LOG10(1.280475)</f>
        <v>0.10737110371968749</v>
      </c>
      <c r="D2603">
        <f>LOG10(4.068639)</f>
        <v>0.60944915771685848</v>
      </c>
    </row>
    <row r="2604" spans="1:4">
      <c r="A2604">
        <v>1.2207460000000001</v>
      </c>
      <c r="B2604">
        <v>4.0044630000000003</v>
      </c>
      <c r="C2604">
        <f>LOG10(1.220746)</f>
        <v>8.662530991231622E-2</v>
      </c>
      <c r="D2604">
        <f>LOG10(4.004463)</f>
        <v>0.602544285270876</v>
      </c>
    </row>
    <row r="2605" spans="1:4">
      <c r="A2605">
        <v>1.207435</v>
      </c>
      <c r="B2605">
        <v>4.0207199999999998</v>
      </c>
      <c r="C2605">
        <f>LOG10(1.207435)</f>
        <v>8.1863760623432563E-2</v>
      </c>
      <c r="D2605">
        <f>LOG10(4.02072)</f>
        <v>0.60430383020587364</v>
      </c>
    </row>
    <row r="2606" spans="1:4">
      <c r="A2606">
        <v>1.2874909999999999</v>
      </c>
      <c r="B2606">
        <v>3.9301400000000002</v>
      </c>
      <c r="C2606">
        <f>LOG10(1.287491)</f>
        <v>0.10974420185769579</v>
      </c>
      <c r="D2606">
        <f>LOG10(3.93014)</f>
        <v>0.59440802115011337</v>
      </c>
    </row>
    <row r="2607" spans="1:4">
      <c r="A2607">
        <v>1.271846</v>
      </c>
      <c r="B2607">
        <v>3.9699710000000001</v>
      </c>
      <c r="C2607">
        <f>LOG10(1.271846)</f>
        <v>0.10443452845140837</v>
      </c>
      <c r="D2607">
        <f>LOG10(3.969971)</f>
        <v>0.59878733432332276</v>
      </c>
    </row>
    <row r="2608" spans="1:4">
      <c r="A2608">
        <v>1.2814509999999999</v>
      </c>
      <c r="B2608">
        <v>4.0546249999999997</v>
      </c>
      <c r="C2608">
        <f>LOG10(1.281451)</f>
        <v>0.10770200432715503</v>
      </c>
      <c r="D2608">
        <f>LOG10(4.054625)</f>
        <v>0.60795069382172084</v>
      </c>
    </row>
    <row r="2609" spans="1:4">
      <c r="A2609">
        <v>1.238464</v>
      </c>
      <c r="B2609">
        <v>3.9479700000000002</v>
      </c>
      <c r="C2609">
        <f>LOG10(1.238464)</f>
        <v>9.288338691815641E-2</v>
      </c>
      <c r="D2609">
        <f>LOG10(3.94797)</f>
        <v>0.5963738438750158</v>
      </c>
    </row>
    <row r="2610" spans="1:4">
      <c r="A2610">
        <v>1.175281</v>
      </c>
      <c r="B2610">
        <v>3.8727749999999999</v>
      </c>
      <c r="C2610">
        <f>LOG10(1.175281)</f>
        <v>7.0141715253935089E-2</v>
      </c>
      <c r="D2610">
        <f>LOG10(3.872775)</f>
        <v>0.58802226613224162</v>
      </c>
    </row>
    <row r="2611" spans="1:4">
      <c r="A2611">
        <v>1.162577</v>
      </c>
      <c r="B2611">
        <v>4.1699609999999998</v>
      </c>
      <c r="C2611">
        <f>LOG10(1.162577)</f>
        <v>6.5421726781482128E-2</v>
      </c>
      <c r="D2611">
        <f>LOG10(4.169961)</f>
        <v>0.62013199320781054</v>
      </c>
    </row>
    <row r="2612" spans="1:4">
      <c r="A2612">
        <v>1.126152</v>
      </c>
      <c r="B2612">
        <v>4.5194679999999998</v>
      </c>
      <c r="C2612">
        <f>LOG10(1.126152)</f>
        <v>5.1597012456785676E-2</v>
      </c>
      <c r="D2612">
        <f>LOG10(4.519468)</f>
        <v>0.65508731572679901</v>
      </c>
    </row>
    <row r="2613" spans="1:4">
      <c r="A2613">
        <v>1.0246040000000001</v>
      </c>
      <c r="B2613">
        <v>4.6230640000000003</v>
      </c>
      <c r="C2613">
        <f>LOG10(1.024604)</f>
        <v>1.0556047006393654E-2</v>
      </c>
      <c r="D2613">
        <f>LOG10(4.623064)</f>
        <v>0.66492990569299204</v>
      </c>
    </row>
    <row r="2614" spans="1:4">
      <c r="A2614">
        <v>1.0389010000000001</v>
      </c>
      <c r="B2614">
        <v>4.6204130000000001</v>
      </c>
      <c r="C2614">
        <f>LOG10(1.038901)</f>
        <v>1.657416430192038E-2</v>
      </c>
      <c r="D2614">
        <f>LOG10(4.620413)</f>
        <v>0.66468079711553973</v>
      </c>
    </row>
    <row r="2615" spans="1:4">
      <c r="A2615">
        <v>1.0144299999999999</v>
      </c>
      <c r="B2615">
        <v>4.6027509999999996</v>
      </c>
      <c r="C2615">
        <f>LOG10(1.01443)</f>
        <v>6.2220842302862494E-3</v>
      </c>
      <c r="D2615">
        <f>LOG10(4.602751)</f>
        <v>0.6630174810310574</v>
      </c>
    </row>
    <row r="2616" spans="1:4">
      <c r="A2616">
        <v>1.0357160000000001</v>
      </c>
      <c r="B2616">
        <v>4.6108690000000001</v>
      </c>
      <c r="C2616">
        <f>LOG10(1.035716)</f>
        <v>1.5240685388387914E-2</v>
      </c>
      <c r="D2616">
        <f>LOG10(4.610869)</f>
        <v>0.66378278359756571</v>
      </c>
    </row>
    <row r="2617" spans="1:4">
      <c r="A2617">
        <v>1.030251</v>
      </c>
      <c r="B2617">
        <v>4.7779980000000002</v>
      </c>
      <c r="C2617">
        <f>LOG10(1.030251)</f>
        <v>1.2943044739233148E-2</v>
      </c>
      <c r="D2617">
        <f>LOG10(4.777998)</f>
        <v>0.67924596362458622</v>
      </c>
    </row>
    <row r="2618" spans="1:4">
      <c r="A2618">
        <v>1.060324</v>
      </c>
      <c r="B2618">
        <v>4.5565329999999999</v>
      </c>
      <c r="C2618">
        <f>LOG10(1.060324)</f>
        <v>2.5438591596436414E-2</v>
      </c>
      <c r="D2618">
        <f>LOG10(4.556533)</f>
        <v>0.65863451993289945</v>
      </c>
    </row>
    <row r="2619" spans="1:4">
      <c r="A2619">
        <v>1.012972</v>
      </c>
      <c r="B2619">
        <v>4.5423289999999996</v>
      </c>
      <c r="C2619">
        <f>LOG10(1.012972)</f>
        <v>5.5974410033652567E-3</v>
      </c>
      <c r="D2619">
        <f>LOG10(4.542329)</f>
        <v>0.65727858688722396</v>
      </c>
    </row>
    <row r="2620" spans="1:4">
      <c r="A2620">
        <v>1.011595</v>
      </c>
      <c r="B2620">
        <v>4.4266319999999997</v>
      </c>
      <c r="C2620">
        <f>LOG10(1.011595)</f>
        <v>5.0066740948899388E-3</v>
      </c>
      <c r="D2620">
        <f>LOG10(4.426632)</f>
        <v>0.64607341919765426</v>
      </c>
    </row>
    <row r="2621" spans="1:4">
      <c r="A2621">
        <v>1.0124089999999999</v>
      </c>
      <c r="B2621">
        <v>4.4758940000000003</v>
      </c>
      <c r="C2621">
        <f>LOG10(1.012409)</f>
        <v>5.3559972457619546E-3</v>
      </c>
      <c r="D2621">
        <f>LOG10(4.475894)</f>
        <v>0.65087979283392861</v>
      </c>
    </row>
    <row r="2622" spans="1:4">
      <c r="A2622">
        <v>1.0101869999999999</v>
      </c>
      <c r="B2622">
        <v>4.5174209999999997</v>
      </c>
      <c r="C2622">
        <f>LOG10(1.010187)</f>
        <v>4.4017753180923521E-3</v>
      </c>
      <c r="D2622">
        <f>LOG10(4.517421)</f>
        <v>0.65489056642077992</v>
      </c>
    </row>
    <row r="2623" spans="1:4">
      <c r="A2623">
        <v>1.0557700000000001</v>
      </c>
      <c r="B2623">
        <v>4.4091909999999999</v>
      </c>
      <c r="C2623">
        <f>LOG10(1.05577)</f>
        <v>2.3569317241029539E-2</v>
      </c>
      <c r="D2623">
        <f>LOG10(4.409191)</f>
        <v>0.64435891226460185</v>
      </c>
    </row>
    <row r="2624" spans="1:4">
      <c r="A2624">
        <v>1.0242990000000001</v>
      </c>
      <c r="B2624">
        <v>4.8996880000000003</v>
      </c>
      <c r="C2624">
        <f>LOG10(1.024299)</f>
        <v>1.0426748725353605E-2</v>
      </c>
      <c r="D2624">
        <f>LOG10(4.899688)</f>
        <v>0.69016842611169515</v>
      </c>
    </row>
    <row r="2625" spans="1:4">
      <c r="A2625">
        <v>1.008785</v>
      </c>
      <c r="B2625">
        <v>4.6794089999999997</v>
      </c>
      <c r="C2625">
        <f>LOG10(1.008785)</f>
        <v>3.7986159265825633E-3</v>
      </c>
      <c r="D2625">
        <f>LOG10(4.679409)</f>
        <v>0.67019100601291615</v>
      </c>
    </row>
    <row r="2626" spans="1:4">
      <c r="A2626">
        <v>1.015606</v>
      </c>
      <c r="B2626">
        <v>3.8849580000000001</v>
      </c>
      <c r="C2626">
        <f>LOG10(1.015606)</f>
        <v>6.725257935432381E-3</v>
      </c>
      <c r="D2626">
        <f>LOG10(3.884958)</f>
        <v>0.58938632803607405</v>
      </c>
    </row>
    <row r="2627" spans="1:4">
      <c r="A2627">
        <v>1.009034</v>
      </c>
      <c r="B2627">
        <v>3.9449329999999998</v>
      </c>
      <c r="C2627">
        <f>LOG10(1.009034)</f>
        <v>3.9058002940038136E-3</v>
      </c>
      <c r="D2627">
        <f>LOG10(3.944933)</f>
        <v>0.5960396316322879</v>
      </c>
    </row>
    <row r="2628" spans="1:4">
      <c r="A2628">
        <v>1.0096499999999999</v>
      </c>
      <c r="B2628">
        <v>3.7546149999999998</v>
      </c>
      <c r="C2628">
        <f>LOG10(1.00965)</f>
        <v>4.1708496124271245E-3</v>
      </c>
      <c r="D2628">
        <f>LOG10(3.754615)</f>
        <v>0.57456541086141322</v>
      </c>
    </row>
    <row r="2629" spans="1:4">
      <c r="A2629">
        <v>1.006211</v>
      </c>
      <c r="B2629">
        <v>3.6358769999999998</v>
      </c>
      <c r="C2629">
        <f>LOG10(1.006211)</f>
        <v>2.6890607667003409E-3</v>
      </c>
      <c r="D2629">
        <f>LOG10(3.635877)</f>
        <v>0.56060918282143135</v>
      </c>
    </row>
    <row r="2630" spans="1:4">
      <c r="A2630">
        <v>1.006491</v>
      </c>
      <c r="B2630">
        <v>3.6367430000000001</v>
      </c>
      <c r="C2630">
        <f>LOG10(1.006491)</f>
        <v>2.8098957991268092E-3</v>
      </c>
      <c r="D2630">
        <f>LOG10(3.636743)</f>
        <v>0.56071261157835961</v>
      </c>
    </row>
    <row r="2631" spans="1:4">
      <c r="A2631">
        <v>1.009836</v>
      </c>
      <c r="B2631">
        <v>3.6788750000000001</v>
      </c>
      <c r="C2631">
        <f>LOG10(1.009836)</f>
        <v>4.2508489527171055E-3</v>
      </c>
      <c r="D2631">
        <f>LOG10(3.678875)</f>
        <v>0.56571503172009141</v>
      </c>
    </row>
    <row r="2632" spans="1:4">
      <c r="A2632">
        <v>1.0148079999999999</v>
      </c>
      <c r="B2632">
        <v>3.762731</v>
      </c>
      <c r="C2632">
        <f>LOG10(1.014808)</f>
        <v>6.3838822215107338E-3</v>
      </c>
      <c r="D2632">
        <f>LOG10(3.762731)</f>
        <v>0.57550317144463536</v>
      </c>
    </row>
    <row r="2633" spans="1:4">
      <c r="A2633">
        <v>1.005952</v>
      </c>
      <c r="B2633">
        <v>3.8397190000000001</v>
      </c>
      <c r="C2633">
        <f>LOG10(1.005952)</f>
        <v>2.5772584212301651E-3</v>
      </c>
      <c r="D2633">
        <f>LOG10(3.839719)</f>
        <v>0.58429944280118207</v>
      </c>
    </row>
    <row r="2634" spans="1:4">
      <c r="A2634">
        <v>1.006918</v>
      </c>
      <c r="B2634">
        <v>3.949525</v>
      </c>
      <c r="C2634">
        <f>LOG10(1.006918)</f>
        <v>2.9941045183218776E-3</v>
      </c>
      <c r="D2634">
        <f>LOG10(3.949525)</f>
        <v>0.59654486720028199</v>
      </c>
    </row>
    <row r="2635" spans="1:4">
      <c r="A2635">
        <v>1.0178100000000001</v>
      </c>
      <c r="B2635">
        <v>3.8671259999999998</v>
      </c>
      <c r="C2635">
        <f>LOG10(1.01781)</f>
        <v>7.6667135086693145E-3</v>
      </c>
      <c r="D2635">
        <f>LOG10(3.867126)</f>
        <v>0.58738832263247565</v>
      </c>
    </row>
    <row r="2636" spans="1:4">
      <c r="A2636">
        <v>1.0099260000000001</v>
      </c>
      <c r="B2636">
        <v>4.0570079999999997</v>
      </c>
      <c r="C2636">
        <f>LOG10(1.009926)</f>
        <v>4.2895530212135177E-3</v>
      </c>
      <c r="D2636">
        <f>LOG10(4.057008)</f>
        <v>0.60820586408895261</v>
      </c>
    </row>
    <row r="2637" spans="1:4">
      <c r="A2637">
        <v>1.009539</v>
      </c>
      <c r="B2637">
        <v>3.914933</v>
      </c>
      <c r="C2637">
        <f>LOG10(1.009539)</f>
        <v>4.1231010484840671E-3</v>
      </c>
      <c r="D2637">
        <f>LOG10(3.914933)</f>
        <v>0.59272433395992008</v>
      </c>
    </row>
    <row r="2638" spans="1:4">
      <c r="A2638">
        <v>1.0070429999999999</v>
      </c>
      <c r="B2638">
        <v>3.8280050000000001</v>
      </c>
      <c r="C2638">
        <f>LOG10(1.007043)</f>
        <v>3.0480150064669666E-3</v>
      </c>
      <c r="D2638">
        <f>LOG10(3.828005)</f>
        <v>0.58297249636473059</v>
      </c>
    </row>
    <row r="2639" spans="1:4">
      <c r="A2639">
        <v>1.011606</v>
      </c>
      <c r="B2639">
        <v>3.9117389999999999</v>
      </c>
      <c r="C2639">
        <f>LOG10(1.011606)</f>
        <v>5.0113965513349243E-3</v>
      </c>
      <c r="D2639">
        <f>LOG10(3.911739)</f>
        <v>0.59236986998028662</v>
      </c>
    </row>
    <row r="2640" spans="1:4">
      <c r="A2640">
        <v>1.007387</v>
      </c>
      <c r="B2640">
        <v>3.9503339999999998</v>
      </c>
      <c r="C2640">
        <f>LOG10(1.007387)</f>
        <v>3.1963421295012713E-3</v>
      </c>
      <c r="D2640">
        <f>LOG10(3.950334)</f>
        <v>0.59663381669598514</v>
      </c>
    </row>
    <row r="2641" spans="1:4">
      <c r="A2641">
        <v>1.009377</v>
      </c>
      <c r="B2641">
        <v>3.9135939999999998</v>
      </c>
      <c r="C2641">
        <f>LOG10(1.009377)</f>
        <v>4.0534045319184225E-3</v>
      </c>
      <c r="D2641">
        <f>LOG10(3.913594)</f>
        <v>0.59257576953217039</v>
      </c>
    </row>
    <row r="2642" spans="1:4">
      <c r="A2642">
        <v>1.0072920000000001</v>
      </c>
      <c r="B2642">
        <v>3.7286389999999998</v>
      </c>
      <c r="C2642">
        <f>LOG10(1.007292)</f>
        <v>3.1553847603011465E-3</v>
      </c>
      <c r="D2642">
        <f>LOG10(3.728639)</f>
        <v>0.5715503378002148</v>
      </c>
    </row>
    <row r="2643" spans="1:4">
      <c r="A2643">
        <v>1.019784</v>
      </c>
      <c r="B2643">
        <v>4.3221210000000001</v>
      </c>
      <c r="C2643">
        <f>LOG10(1.019784)</f>
        <v>8.5081937795020435E-3</v>
      </c>
      <c r="D2643">
        <f>LOG10(4.322121)</f>
        <v>0.63569692101476682</v>
      </c>
    </row>
    <row r="2644" spans="1:4">
      <c r="A2644">
        <v>1.0150239999999999</v>
      </c>
      <c r="B2644">
        <v>4.3094770000000002</v>
      </c>
      <c r="C2644">
        <f>LOG10(1.015024)</f>
        <v>6.4763111599107411E-3</v>
      </c>
      <c r="D2644">
        <f>LOG10(4.309477)</f>
        <v>0.63442456719178952</v>
      </c>
    </row>
    <row r="2645" spans="1:4">
      <c r="A2645">
        <v>1.0174080000000001</v>
      </c>
      <c r="B2645">
        <v>4.5932880000000003</v>
      </c>
      <c r="C2645">
        <f>LOG10(1.017408)</f>
        <v>7.4951482178792347E-3</v>
      </c>
      <c r="D2645">
        <f>LOG10(4.593288)</f>
        <v>0.66212367661529703</v>
      </c>
    </row>
    <row r="2646" spans="1:4">
      <c r="A2646">
        <v>1.0227889999999999</v>
      </c>
      <c r="B2646">
        <v>4.4439169999999999</v>
      </c>
      <c r="C2646">
        <f>LOG10(1.022789)</f>
        <v>9.7860485828955672E-3</v>
      </c>
      <c r="D2646">
        <f>LOG10(4.443917)</f>
        <v>0.647765938932507</v>
      </c>
    </row>
    <row r="2647" spans="1:4">
      <c r="A2647">
        <v>1.01745</v>
      </c>
      <c r="B2647">
        <v>4.4997049999999996</v>
      </c>
      <c r="C2647">
        <f>LOG10(1.01745)</f>
        <v>7.5130761207033853E-3</v>
      </c>
      <c r="D2647">
        <f>LOG10(4.499705)</f>
        <v>0.65318404242606998</v>
      </c>
    </row>
    <row r="2648" spans="1:4">
      <c r="A2648">
        <v>1.0252600000000001</v>
      </c>
      <c r="B2648">
        <v>4.9258100000000002</v>
      </c>
      <c r="C2648">
        <f>LOG10(1.02526)</f>
        <v>1.083401392503246E-2</v>
      </c>
      <c r="D2648">
        <f>LOG10(4.92581)</f>
        <v>0.69247765607333256</v>
      </c>
    </row>
    <row r="2649" spans="1:4">
      <c r="A2649">
        <v>1.01613</v>
      </c>
      <c r="B2649">
        <v>4.0602790000000004</v>
      </c>
      <c r="C2649">
        <f>LOG10(1.01613)</f>
        <v>6.9492735689231505E-3</v>
      </c>
      <c r="D2649">
        <f>LOG10(4.060279)</f>
        <v>0.60855587692629554</v>
      </c>
    </row>
    <row r="2650" spans="1:4">
      <c r="A2650">
        <v>1.018535</v>
      </c>
      <c r="B2650">
        <v>4.274788</v>
      </c>
      <c r="C2650">
        <f>LOG10(1.018535)</f>
        <v>7.975957288759189E-3</v>
      </c>
      <c r="D2650">
        <f>LOG10(4.274788)</f>
        <v>0.63091458158743008</v>
      </c>
    </row>
    <row r="2651" spans="1:4">
      <c r="A2651">
        <v>1.0141309999999999</v>
      </c>
      <c r="B2651">
        <v>4.2100140000000001</v>
      </c>
      <c r="C2651">
        <f>LOG10(1.014131)</f>
        <v>6.0940584513922771E-3</v>
      </c>
      <c r="D2651">
        <f>LOG10(4.210014)</f>
        <v>0.62428354004294562</v>
      </c>
    </row>
    <row r="2652" spans="1:4">
      <c r="A2652">
        <v>1.0123690000000001</v>
      </c>
      <c r="B2652">
        <v>4.1652209999999998</v>
      </c>
      <c r="C2652">
        <f>LOG10(1.012369)</f>
        <v>5.338838051738402E-3</v>
      </c>
      <c r="D2652">
        <f>LOG10(4.165221)</f>
        <v>0.61963804932845035</v>
      </c>
    </row>
    <row r="2653" spans="1:4">
      <c r="A2653">
        <v>1.018408</v>
      </c>
      <c r="B2653">
        <v>4.0801970000000001</v>
      </c>
      <c r="C2653">
        <f>LOG10(1.018408)</f>
        <v>7.9218022149322078E-3</v>
      </c>
      <c r="D2653">
        <f>LOG10(4.080197)</f>
        <v>0.61068113219465803</v>
      </c>
    </row>
    <row r="2654" spans="1:4">
      <c r="A2654">
        <v>1.0233909999999999</v>
      </c>
      <c r="B2654">
        <v>3.9746169999999998</v>
      </c>
      <c r="C2654">
        <f>LOG10(1.023391)</f>
        <v>1.0041593340100814E-2</v>
      </c>
      <c r="D2654">
        <f>LOG10(3.974617)</f>
        <v>0.59929528574709412</v>
      </c>
    </row>
    <row r="2655" spans="1:4">
      <c r="A2655">
        <v>1.026988</v>
      </c>
      <c r="B2655">
        <v>4.0719640000000004</v>
      </c>
      <c r="C2655">
        <f>LOG10(1.026988)</f>
        <v>1.1565369045934281E-2</v>
      </c>
      <c r="D2655">
        <f>LOG10(4.071964)</f>
        <v>0.60980392977308828</v>
      </c>
    </row>
    <row r="2656" spans="1:4">
      <c r="A2656">
        <v>1.025749</v>
      </c>
      <c r="B2656">
        <v>4.1430090000000002</v>
      </c>
      <c r="C2656">
        <f>LOG10(1.025749)</f>
        <v>1.1041102246609442E-2</v>
      </c>
      <c r="D2656">
        <f>LOG10(4.143009)</f>
        <v>0.61731587673205957</v>
      </c>
    </row>
    <row r="2657" spans="1:4">
      <c r="A2657">
        <v>1.0252600000000001</v>
      </c>
      <c r="B2657">
        <v>3.9405250000000001</v>
      </c>
      <c r="C2657">
        <f>LOG10(1.02526)</f>
        <v>1.083401392503246E-2</v>
      </c>
      <c r="D2657">
        <f>LOG10(3.940525)</f>
        <v>0.59555408715899705</v>
      </c>
    </row>
    <row r="2658" spans="1:4">
      <c r="A2658">
        <v>1.015779</v>
      </c>
      <c r="B2658">
        <v>3.985976</v>
      </c>
      <c r="C2658">
        <f>LOG10(1.015779)</f>
        <v>6.7992300732111826E-3</v>
      </c>
      <c r="D2658">
        <f>LOG10(3.985976)</f>
        <v>0.60053467943748817</v>
      </c>
    </row>
    <row r="2659" spans="1:4">
      <c r="A2659">
        <v>1.018132</v>
      </c>
      <c r="B2659">
        <v>4.2645540000000004</v>
      </c>
      <c r="C2659">
        <f>LOG10(1.018132)</f>
        <v>7.8040875835091884E-3</v>
      </c>
      <c r="D2659">
        <f>LOG10(4.264554)</f>
        <v>0.62987361804347175</v>
      </c>
    </row>
    <row r="2660" spans="1:4">
      <c r="A2660">
        <v>1.0182770000000001</v>
      </c>
      <c r="B2660">
        <v>4.460445</v>
      </c>
      <c r="C2660">
        <f>LOG10(1.018277)</f>
        <v>7.8659343932437967E-3</v>
      </c>
      <c r="D2660">
        <f>LOG10(4.460445)</f>
        <v>0.64937818862328578</v>
      </c>
    </row>
    <row r="2661" spans="1:4">
      <c r="A2661">
        <v>1.0159039999999999</v>
      </c>
      <c r="B2661">
        <v>4.500648</v>
      </c>
      <c r="C2661">
        <f>LOG10(1.015904)</f>
        <v>6.8526703100063669E-3</v>
      </c>
      <c r="D2661">
        <f>LOG10(4.500648)</f>
        <v>0.65327504767840483</v>
      </c>
    </row>
    <row r="2662" spans="1:4">
      <c r="A2662">
        <v>1.015544</v>
      </c>
      <c r="B2662">
        <v>4.471088</v>
      </c>
      <c r="C2662">
        <f>LOG10(1.015544)</f>
        <v>6.698744622396547E-3</v>
      </c>
      <c r="D2662">
        <f>LOG10(4.471088)</f>
        <v>0.65041321774061112</v>
      </c>
    </row>
    <row r="2663" spans="1:4">
      <c r="A2663">
        <v>1.0268930000000001</v>
      </c>
      <c r="B2663">
        <v>4.4637570000000002</v>
      </c>
      <c r="C2663">
        <f>LOG10(1.026893)</f>
        <v>1.1525193421533245E-2</v>
      </c>
      <c r="D2663">
        <f>LOG10(4.463757)</f>
        <v>0.64970054425577861</v>
      </c>
    </row>
    <row r="2664" spans="1:4">
      <c r="A2664">
        <v>1.0351919999999999</v>
      </c>
      <c r="B2664">
        <v>4.4325770000000002</v>
      </c>
      <c r="C2664">
        <f>LOG10(1.035192)</f>
        <v>1.5020907094640417E-2</v>
      </c>
      <c r="D2664">
        <f>LOG10(4.432577)</f>
        <v>0.64665628863497449</v>
      </c>
    </row>
    <row r="2665" spans="1:4">
      <c r="A2665">
        <v>1.019261</v>
      </c>
      <c r="B2665">
        <v>4.6062269999999996</v>
      </c>
      <c r="C2665">
        <f>LOG10(1.019261)</f>
        <v>8.2854071131789366E-3</v>
      </c>
      <c r="D2665">
        <f>LOG10(4.606227)</f>
        <v>0.66334533667167006</v>
      </c>
    </row>
    <row r="2666" spans="1:4">
      <c r="A2666">
        <v>1.012675</v>
      </c>
      <c r="B2666">
        <v>4.3487609999999997</v>
      </c>
      <c r="C2666">
        <f>LOG10(1.012675)</f>
        <v>5.4700886442922833E-3</v>
      </c>
      <c r="D2666">
        <f>LOG10(4.348761)</f>
        <v>0.63836554028585724</v>
      </c>
    </row>
    <row r="2667" spans="1:4">
      <c r="A2667">
        <v>1.016861</v>
      </c>
      <c r="B2667">
        <v>4.2879490000000002</v>
      </c>
      <c r="C2667">
        <f>LOG10(1.016861)</f>
        <v>7.2615910164210758E-3</v>
      </c>
      <c r="D2667">
        <f>LOG10(4.287949)</f>
        <v>0.63224961130451429</v>
      </c>
    </row>
    <row r="2668" spans="1:4">
      <c r="A2668">
        <v>1.016802</v>
      </c>
      <c r="B2668">
        <v>4.2576809999999998</v>
      </c>
      <c r="C2668">
        <f>LOG10(1.016802)</f>
        <v>7.2363917828809129E-3</v>
      </c>
      <c r="D2668">
        <f>LOG10(4.257681)</f>
        <v>0.6291731194955541</v>
      </c>
    </row>
    <row r="2669" spans="1:4">
      <c r="A2669">
        <v>1.020724</v>
      </c>
      <c r="B2669">
        <v>4.3448900000000004</v>
      </c>
      <c r="C2669">
        <f>LOG10(1.020724)</f>
        <v>8.9083263365586467E-3</v>
      </c>
      <c r="D2669">
        <f>LOG10(4.34489)</f>
        <v>0.6379787858484981</v>
      </c>
    </row>
    <row r="2670" spans="1:4">
      <c r="A2670">
        <v>1.0263359999999999</v>
      </c>
      <c r="B2670">
        <v>4.3761289999999997</v>
      </c>
      <c r="C2670">
        <f>LOG10(1.026336)</f>
        <v>1.1289562586049956E-2</v>
      </c>
      <c r="D2670">
        <f>LOG10(4.376129)</f>
        <v>0.64109011569338548</v>
      </c>
    </row>
    <row r="2671" spans="1:4">
      <c r="A2671">
        <v>1.042605</v>
      </c>
      <c r="B2671">
        <v>4.2878220000000002</v>
      </c>
      <c r="C2671">
        <f>LOG10(1.042605)</f>
        <v>1.8119803333377659E-2</v>
      </c>
      <c r="D2671">
        <f>LOG10(4.287822)</f>
        <v>0.63223674822801523</v>
      </c>
    </row>
    <row r="2672" spans="1:4">
      <c r="A2672">
        <v>1.0159180000000001</v>
      </c>
      <c r="B2672">
        <v>4.8369169999999997</v>
      </c>
      <c r="C2672">
        <f>LOG10(1.015918)</f>
        <v>6.8586552070562263E-3</v>
      </c>
      <c r="D2672">
        <f>LOG10(4.836917)</f>
        <v>0.68456863509338195</v>
      </c>
    </row>
    <row r="2673" spans="1:4">
      <c r="A2673">
        <v>1.018189</v>
      </c>
      <c r="B2673">
        <v>4.3793689999999996</v>
      </c>
      <c r="C2673">
        <f>LOG10(1.018189)</f>
        <v>7.8284008283020668E-3</v>
      </c>
      <c r="D2673">
        <f>LOG10(4.379369)</f>
        <v>0.64141153982839105</v>
      </c>
    </row>
    <row r="2674" spans="1:4">
      <c r="A2674">
        <v>1.018961</v>
      </c>
      <c r="B2674">
        <v>4.3363329999999998</v>
      </c>
      <c r="C2674">
        <f>LOG10(1.018961)</f>
        <v>8.1575620153320691E-3</v>
      </c>
      <c r="D2674">
        <f>LOG10(4.336333)</f>
        <v>0.63712262558508781</v>
      </c>
    </row>
    <row r="2675" spans="1:4">
      <c r="A2675">
        <v>1.0187619999999999</v>
      </c>
      <c r="B2675">
        <v>5.1926560000000004</v>
      </c>
      <c r="C2675">
        <f>LOG10(1.018762)</f>
        <v>8.0727373338876137E-3</v>
      </c>
      <c r="D2675">
        <f>LOG10(5.192656)</f>
        <v>0.7153895526643308</v>
      </c>
    </row>
    <row r="2676" spans="1:4">
      <c r="A2676">
        <v>1.0146059999999999</v>
      </c>
      <c r="B2676">
        <v>5.3930249999999997</v>
      </c>
      <c r="C2676">
        <f>LOG10(1.014606)</f>
        <v>6.2974262439386948E-3</v>
      </c>
      <c r="D2676">
        <f>LOG10(5.393025)</f>
        <v>0.73183243351584315</v>
      </c>
    </row>
    <row r="2677" spans="1:4">
      <c r="A2677">
        <v>1.0122720000000001</v>
      </c>
      <c r="B2677">
        <v>5.6739509999999997</v>
      </c>
      <c r="C2677">
        <f>LOG10(1.012272)</f>
        <v>5.2972241905384623E-3</v>
      </c>
      <c r="D2677">
        <f>LOG10(5.673951)</f>
        <v>0.7538855809273165</v>
      </c>
    </row>
    <row r="2678" spans="1:4">
      <c r="A2678">
        <v>1.0155909999999999</v>
      </c>
      <c r="B2678">
        <v>5.8963299999999998</v>
      </c>
      <c r="C2678">
        <f>LOG10(1.015591)</f>
        <v>6.7188435726416619E-3</v>
      </c>
      <c r="D2678">
        <f>LOG10(5.89633)</f>
        <v>0.77058178169774472</v>
      </c>
    </row>
    <row r="2679" spans="1:4">
      <c r="A2679">
        <v>1.013727</v>
      </c>
      <c r="B2679">
        <v>5.9802340000000003</v>
      </c>
      <c r="C2679">
        <f>LOG10(1.013727)</f>
        <v>5.9210138170932751E-3</v>
      </c>
      <c r="D2679">
        <f>LOG10(5.980234)</f>
        <v>0.77671817778782626</v>
      </c>
    </row>
    <row r="2680" spans="1:4">
      <c r="A2680">
        <v>1.0154300000000001</v>
      </c>
      <c r="B2680">
        <v>6.4344140000000003</v>
      </c>
      <c r="C2680">
        <f>LOG10(1.01543)</f>
        <v>6.6499901125023344E-3</v>
      </c>
      <c r="D2680">
        <f>LOG10(6.434414)</f>
        <v>0.80850900063358355</v>
      </c>
    </row>
    <row r="2681" spans="1:4">
      <c r="A2681">
        <v>1.014159</v>
      </c>
      <c r="B2681">
        <v>6.6402320000000001</v>
      </c>
      <c r="C2681">
        <f>LOG10(1.014159)</f>
        <v>6.1060490893130124E-3</v>
      </c>
      <c r="D2681">
        <f>LOG10(6.640232)</f>
        <v>0.82218325324748165</v>
      </c>
    </row>
    <row r="2682" spans="1:4">
      <c r="A2682">
        <v>1.016537</v>
      </c>
      <c r="B2682">
        <v>6.9142020000000004</v>
      </c>
      <c r="C2682">
        <f>LOG10(1.016537)</f>
        <v>7.1231907491566358E-3</v>
      </c>
      <c r="D2682">
        <f>LOG10(6.914202)</f>
        <v>0.83974206340480317</v>
      </c>
    </row>
    <row r="2683" spans="1:4">
      <c r="A2683">
        <v>1.0162169999999999</v>
      </c>
      <c r="B2683">
        <v>7.1727169999999996</v>
      </c>
      <c r="C2683">
        <f>LOG10(1.016217)</f>
        <v>6.9864558217064008E-3</v>
      </c>
      <c r="D2683">
        <f>LOG10(7.172717)</f>
        <v>0.85568369605738537</v>
      </c>
    </row>
    <row r="2684" spans="1:4">
      <c r="A2684">
        <v>1.012483</v>
      </c>
      <c r="B2684">
        <v>7.6247499999999997</v>
      </c>
      <c r="C2684">
        <f>LOG10(1.012483)</f>
        <v>5.3877399675221318E-3</v>
      </c>
      <c r="D2684">
        <f>LOG10(7.62475)</f>
        <v>0.88222560862204835</v>
      </c>
    </row>
    <row r="2685" spans="1:4">
      <c r="A2685">
        <v>1.019139</v>
      </c>
      <c r="B2685">
        <v>7.5859500000000004</v>
      </c>
      <c r="C2685">
        <f>LOG10(1.019139)</f>
        <v>8.233421313673989E-3</v>
      </c>
      <c r="D2685">
        <f>LOG10(7.58595)</f>
        <v>0.8800099758838219</v>
      </c>
    </row>
    <row r="2686" spans="1:4">
      <c r="A2686">
        <v>1.014867</v>
      </c>
      <c r="B2686">
        <v>7.2607390000000001</v>
      </c>
      <c r="C2686">
        <f>LOG10(1.014867)</f>
        <v>6.4091309676789845E-3</v>
      </c>
      <c r="D2686">
        <f>LOG10(7.260739)</f>
        <v>0.86098082556079725</v>
      </c>
    </row>
    <row r="2687" spans="1:4">
      <c r="A2687">
        <v>1.0157240000000001</v>
      </c>
      <c r="B2687">
        <v>7.9598259999999996</v>
      </c>
      <c r="C2687">
        <f>LOG10(1.015724)</f>
        <v>6.7757142856288075E-3</v>
      </c>
      <c r="D2687">
        <f>LOG10(7.959826)</f>
        <v>0.90090357426206769</v>
      </c>
    </row>
    <row r="2688" spans="1:4">
      <c r="A2688">
        <v>1.014535</v>
      </c>
      <c r="B2688">
        <v>8.1979640000000007</v>
      </c>
      <c r="C2688">
        <f>LOG10(1.014535)</f>
        <v>6.2670341635187683E-3</v>
      </c>
      <c r="D2688">
        <f>LOG10(8.197964)</f>
        <v>0.91370600685244241</v>
      </c>
    </row>
    <row r="2689" spans="1:4">
      <c r="A2689">
        <v>1.0179199999999999</v>
      </c>
      <c r="B2689">
        <v>7.9373199999999997</v>
      </c>
      <c r="C2689">
        <f>LOG10(1.01792)</f>
        <v>7.7136474272693047E-3</v>
      </c>
      <c r="D2689">
        <f>LOG10(7.93732)</f>
        <v>0.89967388962058303</v>
      </c>
    </row>
    <row r="2690" spans="1:4">
      <c r="A2690">
        <v>1.018572</v>
      </c>
      <c r="B2690">
        <v>5.1445610000000004</v>
      </c>
      <c r="C2690">
        <f>LOG10(1.018572)</f>
        <v>7.9917334810085065E-3</v>
      </c>
      <c r="D2690">
        <f>LOG10(5.144561)</f>
        <v>0.71134832109808199</v>
      </c>
    </row>
    <row r="2691" spans="1:4">
      <c r="A2691">
        <v>1.0235110000000001</v>
      </c>
      <c r="B2691">
        <v>4.9446750000000002</v>
      </c>
      <c r="C2691">
        <f>LOG10(1.023511)</f>
        <v>1.0092514525275431E-2</v>
      </c>
      <c r="D2691">
        <f>LOG10(4.944675)</f>
        <v>0.69413775187959292</v>
      </c>
    </row>
    <row r="2692" spans="1:4">
      <c r="A2692">
        <v>1.0055909999999999</v>
      </c>
      <c r="B2692">
        <v>4.385688</v>
      </c>
      <c r="C2692">
        <f>LOG10(1.005591)</f>
        <v>2.4213777767196965E-3</v>
      </c>
      <c r="D2692">
        <f>LOG10(4.385688)</f>
        <v>0.64203773251751783</v>
      </c>
    </row>
    <row r="2693" spans="1:4">
      <c r="A2693">
        <v>1.009817</v>
      </c>
      <c r="B2693">
        <v>4.0928849999999999</v>
      </c>
      <c r="C2693">
        <f>LOG10(1.009817)</f>
        <v>4.2426776528389568E-3</v>
      </c>
      <c r="D2693">
        <f>LOG10(4.092885)</f>
        <v>0.61202954221012118</v>
      </c>
    </row>
    <row r="2694" spans="1:4">
      <c r="A2694">
        <v>1.0122139999999999</v>
      </c>
      <c r="B2694">
        <v>4.2395860000000001</v>
      </c>
      <c r="C2694">
        <f>LOG10(1.012214)</f>
        <v>5.2723397705352329E-3</v>
      </c>
      <c r="D2694">
        <f>LOG10(4.239586)</f>
        <v>0.62732344935359363</v>
      </c>
    </row>
    <row r="2695" spans="1:4">
      <c r="A2695">
        <v>1.0089699999999999</v>
      </c>
      <c r="B2695">
        <v>4.391953</v>
      </c>
      <c r="C2695">
        <f>LOG10(1.00897)</f>
        <v>3.878253424075751E-3</v>
      </c>
      <c r="D2695">
        <f>LOG10(4.391953)</f>
        <v>0.64265768391246658</v>
      </c>
    </row>
    <row r="2696" spans="1:4">
      <c r="A2696">
        <v>1.006796</v>
      </c>
      <c r="B2696">
        <v>3.8763800000000002</v>
      </c>
      <c r="C2696">
        <f>LOG10(1.006796)</f>
        <v>2.9414814279952444E-3</v>
      </c>
      <c r="D2696">
        <f>LOG10(3.87638)</f>
        <v>0.58842634418209527</v>
      </c>
    </row>
    <row r="2697" spans="1:4">
      <c r="A2697">
        <v>1.006499</v>
      </c>
      <c r="B2697">
        <v>4.173095</v>
      </c>
      <c r="C2697">
        <f>LOG10(1.006499)</f>
        <v>2.813347734660764E-3</v>
      </c>
      <c r="D2697">
        <f>LOG10(4.173095)</f>
        <v>0.62045827148529165</v>
      </c>
    </row>
    <row r="2698" spans="1:4">
      <c r="A2698">
        <v>1.0166580000000001</v>
      </c>
      <c r="B2698">
        <v>3.9931830000000001</v>
      </c>
      <c r="C2698">
        <f>LOG10(1.016658)</f>
        <v>7.1748824288748606E-3</v>
      </c>
      <c r="D2698">
        <f>LOG10(3.993183)</f>
        <v>0.60131921354245821</v>
      </c>
    </row>
    <row r="2699" spans="1:4">
      <c r="A2699">
        <v>1.0061180000000001</v>
      </c>
      <c r="B2699">
        <v>4.0958579999999998</v>
      </c>
      <c r="C2699">
        <f>LOG10(1.006118)</f>
        <v>2.6489188347938648E-3</v>
      </c>
      <c r="D2699">
        <f>LOG10(4.095858)</f>
        <v>0.61234489159925909</v>
      </c>
    </row>
    <row r="2700" spans="1:4">
      <c r="A2700">
        <v>1.006413</v>
      </c>
      <c r="B2700">
        <v>3.964906</v>
      </c>
      <c r="C2700">
        <f>LOG10(1.006413)</f>
        <v>2.7762379897077628E-3</v>
      </c>
      <c r="D2700">
        <f>LOG10(3.964906)</f>
        <v>0.59823289552115877</v>
      </c>
    </row>
    <row r="2701" spans="1:4">
      <c r="A2701">
        <v>1.005854</v>
      </c>
      <c r="B2701">
        <v>3.9449800000000002</v>
      </c>
      <c r="C2701">
        <f>LOG10(1.005854)</f>
        <v>2.5349473243747494E-3</v>
      </c>
      <c r="D2701">
        <f>LOG10(3.94498)</f>
        <v>0.59604480579343522</v>
      </c>
    </row>
    <row r="2702" spans="1:4">
      <c r="A2702">
        <v>1.0136019999999999</v>
      </c>
      <c r="B2702">
        <v>3.9007100000000001</v>
      </c>
      <c r="C2702">
        <f>LOG10(1.013602)</f>
        <v>5.8674588091919772E-3</v>
      </c>
      <c r="D2702">
        <f>LOG10(3.90071)</f>
        <v>0.59114366369775162</v>
      </c>
    </row>
    <row r="2703" spans="1:4">
      <c r="A2703">
        <v>1.0081850000000001</v>
      </c>
      <c r="B2703">
        <v>3.9801790000000001</v>
      </c>
      <c r="C2703">
        <f>LOG10(1.008185)</f>
        <v>3.5402316205906713E-3</v>
      </c>
      <c r="D2703">
        <f>LOG10(3.980179)</f>
        <v>0.59990260397423278</v>
      </c>
    </row>
    <row r="2704" spans="1:4">
      <c r="A2704">
        <v>1.0055769999999999</v>
      </c>
      <c r="B2704">
        <v>4.1923659999999998</v>
      </c>
      <c r="C2704">
        <f>LOG10(1.005577)</f>
        <v>2.4153314168465028E-3</v>
      </c>
      <c r="D2704">
        <f>LOG10(4.192366)</f>
        <v>0.62245919020701734</v>
      </c>
    </row>
    <row r="2705" spans="1:4">
      <c r="A2705">
        <v>1.00539</v>
      </c>
      <c r="B2705">
        <v>3.872954</v>
      </c>
      <c r="C2705">
        <f>LOG10(1.00539)</f>
        <v>2.3345612516971312E-3</v>
      </c>
      <c r="D2705">
        <f>LOG10(3.872954)</f>
        <v>0.58804233879739021</v>
      </c>
    </row>
    <row r="2706" spans="1:4">
      <c r="A2706">
        <v>1.006953</v>
      </c>
      <c r="B2706">
        <v>3.770518</v>
      </c>
      <c r="C2706">
        <f>LOG10(1.006953)</f>
        <v>3.0092001295781573E-3</v>
      </c>
      <c r="D2706">
        <f>LOG10(3.770518)</f>
        <v>0.57640101839887448</v>
      </c>
    </row>
    <row r="2707" spans="1:4">
      <c r="A2707">
        <v>1.008805</v>
      </c>
      <c r="B2707">
        <v>3.8301479999999999</v>
      </c>
      <c r="C2707">
        <f>LOG10(1.008805)</f>
        <v>3.8072260898350677E-3</v>
      </c>
      <c r="D2707">
        <f>LOG10(3.830148)</f>
        <v>0.58321555578101847</v>
      </c>
    </row>
    <row r="2708" spans="1:4">
      <c r="A2708">
        <v>1.0105649999999999</v>
      </c>
      <c r="B2708">
        <v>3.7831030000000001</v>
      </c>
      <c r="C2708">
        <f>LOG10(1.010565)</f>
        <v>4.5642527681447843E-3</v>
      </c>
      <c r="D2708">
        <f>LOG10(3.783103)</f>
        <v>0.5778481656973653</v>
      </c>
    </row>
    <row r="2709" spans="1:4">
      <c r="A2709">
        <v>1.0056639999999999</v>
      </c>
      <c r="B2709">
        <v>3.7032590000000001</v>
      </c>
      <c r="C2709">
        <f>LOG10(1.005664)</f>
        <v>2.452903860873973E-3</v>
      </c>
      <c r="D2709">
        <f>LOG10(3.703259)</f>
        <v>0.56858408697175056</v>
      </c>
    </row>
    <row r="2710" spans="1:4">
      <c r="A2710">
        <v>1.0156270000000001</v>
      </c>
      <c r="B2710">
        <v>3.7201119999999999</v>
      </c>
      <c r="C2710">
        <f>LOG10(1.015627)</f>
        <v>6.7342378841830303E-3</v>
      </c>
      <c r="D2710">
        <f>LOG10(3.720112)</f>
        <v>0.57055601521785393</v>
      </c>
    </row>
    <row r="2711" spans="1:4">
      <c r="A2711">
        <v>1.012934</v>
      </c>
      <c r="B2711">
        <v>3.831925</v>
      </c>
      <c r="C2711">
        <f>LOG10(1.012934)</f>
        <v>5.5811488453734728E-3</v>
      </c>
      <c r="D2711">
        <f>LOG10(3.831925)</f>
        <v>0.58341700030084453</v>
      </c>
    </row>
    <row r="2712" spans="1:4">
      <c r="A2712">
        <v>1.0103949999999999</v>
      </c>
      <c r="B2712">
        <v>3.6851240000000001</v>
      </c>
      <c r="C2712">
        <f>LOG10(1.010395)</f>
        <v>4.4911884204113378E-3</v>
      </c>
      <c r="D2712">
        <f>LOG10(3.685124)</f>
        <v>0.56645210592904849</v>
      </c>
    </row>
    <row r="2713" spans="1:4">
      <c r="A2713">
        <v>1.0154399999999999</v>
      </c>
      <c r="B2713">
        <v>3.6928040000000002</v>
      </c>
      <c r="C2713">
        <f>LOG10(1.01544)</f>
        <v>6.6542670429006363E-3</v>
      </c>
      <c r="D2713">
        <f>LOG10(3.692804)</f>
        <v>0.56735625756232955</v>
      </c>
    </row>
    <row r="2714" spans="1:4">
      <c r="A2714">
        <v>1.013579</v>
      </c>
      <c r="B2714">
        <v>3.8380429999999999</v>
      </c>
      <c r="C2714">
        <f>LOG10(1.013579)</f>
        <v>5.8576039683226585E-3</v>
      </c>
      <c r="D2714">
        <f>LOG10(3.838043)</f>
        <v>0.58410983609984601</v>
      </c>
    </row>
    <row r="2715" spans="1:4">
      <c r="A2715">
        <v>1.00925</v>
      </c>
      <c r="B2715">
        <v>3.6592129999999998</v>
      </c>
      <c r="C2715">
        <f>LOG10(1.00925)</f>
        <v>3.9987580823519801E-3</v>
      </c>
      <c r="D2715">
        <f>LOG10(3.659213)</f>
        <v>0.56338769017320989</v>
      </c>
    </row>
    <row r="2716" spans="1:4">
      <c r="A2716">
        <v>1.0141230000000001</v>
      </c>
      <c r="B2716">
        <v>3.6101160000000001</v>
      </c>
      <c r="C2716">
        <f>LOG10(1.014123)</f>
        <v>6.0906324940366886E-3</v>
      </c>
      <c r="D2716">
        <f>LOG10(3.610116)</f>
        <v>0.55752115685039982</v>
      </c>
    </row>
    <row r="2717" spans="1:4">
      <c r="A2717">
        <v>1.016716</v>
      </c>
      <c r="B2717">
        <v>3.60331</v>
      </c>
      <c r="C2717">
        <f>LOG10(1.016716)</f>
        <v>7.1996580775820565E-3</v>
      </c>
      <c r="D2717">
        <f>LOG10(3.60331)</f>
        <v>0.5567016269568521</v>
      </c>
    </row>
    <row r="2718" spans="1:4">
      <c r="A2718">
        <v>1.008607</v>
      </c>
      <c r="B2718">
        <v>3.6950590000000001</v>
      </c>
      <c r="C2718">
        <f>LOG10(1.008607)</f>
        <v>3.7219779524264359E-3</v>
      </c>
      <c r="D2718">
        <f>LOG10(3.695059)</f>
        <v>0.56762137728290507</v>
      </c>
    </row>
    <row r="2719" spans="1:4">
      <c r="A2719">
        <v>1.0081089999999999</v>
      </c>
      <c r="B2719">
        <v>3.7965930000000001</v>
      </c>
      <c r="C2719">
        <f>LOG10(1.008109)</f>
        <v>3.5074919698846138E-3</v>
      </c>
      <c r="D2719">
        <f>LOG10(3.796593)</f>
        <v>0.57939404266833583</v>
      </c>
    </row>
    <row r="2720" spans="1:4">
      <c r="A2720">
        <v>1.016613</v>
      </c>
      <c r="B2720">
        <v>3.7637079999999998</v>
      </c>
      <c r="C2720">
        <f>LOG10(1.016613)</f>
        <v>7.1556589690518766E-3</v>
      </c>
      <c r="D2720">
        <f>LOG10(3.763708)</f>
        <v>0.57561592216544843</v>
      </c>
    </row>
    <row r="2721" spans="1:4">
      <c r="A2721">
        <v>1.0186230000000001</v>
      </c>
      <c r="B2721">
        <v>3.803458</v>
      </c>
      <c r="C2721">
        <f>LOG10(1.018623)</f>
        <v>8.0134781039647805E-3</v>
      </c>
      <c r="D2721">
        <f>LOG10(3.803458)</f>
        <v>0.58017862488472804</v>
      </c>
    </row>
    <row r="2722" spans="1:4">
      <c r="A2722">
        <v>1.0179149999999999</v>
      </c>
      <c r="B2722">
        <v>3.8967079999999998</v>
      </c>
      <c r="C2722">
        <f>LOG10(1.017915)</f>
        <v>7.7115141773649318E-3</v>
      </c>
      <c r="D2722">
        <f>LOG10(3.896708)</f>
        <v>0.59069786313423422</v>
      </c>
    </row>
    <row r="2723" spans="1:4">
      <c r="A2723">
        <v>1.0168759999999999</v>
      </c>
      <c r="B2723">
        <v>3.7557589999999998</v>
      </c>
      <c r="C2723">
        <f>LOG10(1.016876)</f>
        <v>7.2679973681062868E-3</v>
      </c>
      <c r="D2723">
        <f>LOG10(3.755759)</f>
        <v>0.57469771662704872</v>
      </c>
    </row>
    <row r="2724" spans="1:4">
      <c r="A2724">
        <v>1.0184580000000001</v>
      </c>
      <c r="B2724">
        <v>3.7920310000000002</v>
      </c>
      <c r="C2724">
        <f>LOG10(1.018458)</f>
        <v>7.9431239161138964E-3</v>
      </c>
      <c r="D2724">
        <f>LOG10(3.792031)</f>
        <v>0.57887187905471749</v>
      </c>
    </row>
    <row r="2725" spans="1:4">
      <c r="A2725">
        <v>1.007463</v>
      </c>
      <c r="B2725">
        <v>3.6424050000000001</v>
      </c>
      <c r="C2725">
        <f>LOG10(1.007463)</f>
        <v>3.2291052440162828E-3</v>
      </c>
      <c r="D2725">
        <f>LOG10(3.642405)</f>
        <v>0.56138823346500244</v>
      </c>
    </row>
    <row r="2726" spans="1:4">
      <c r="A2726">
        <v>1.014699</v>
      </c>
      <c r="B2726">
        <v>4.0645850000000001</v>
      </c>
      <c r="C2726">
        <f>LOG10(1.014699)</f>
        <v>6.3372323714999349E-3</v>
      </c>
      <c r="D2726">
        <f>LOG10(4.064585)</f>
        <v>0.609016210099666</v>
      </c>
    </row>
    <row r="2727" spans="1:4">
      <c r="A2727">
        <v>1.014095</v>
      </c>
      <c r="B2727">
        <v>3.9827720000000002</v>
      </c>
      <c r="C2727">
        <f>LOG10(1.014095)</f>
        <v>6.0786414304585881E-3</v>
      </c>
      <c r="D2727">
        <f>LOG10(3.982772)</f>
        <v>0.60018544525540574</v>
      </c>
    </row>
    <row r="2728" spans="1:4">
      <c r="A2728">
        <v>1.01681</v>
      </c>
      <c r="B2728">
        <v>4.1184190000000003</v>
      </c>
      <c r="C2728">
        <f>LOG10(1.01681)</f>
        <v>7.2398087137952143E-3</v>
      </c>
      <c r="D2728">
        <f>LOG10(4.118419)</f>
        <v>0.61473052881212342</v>
      </c>
    </row>
    <row r="2729" spans="1:4">
      <c r="A2729">
        <v>1.010772</v>
      </c>
      <c r="B2729">
        <v>4.1164800000000001</v>
      </c>
      <c r="C2729">
        <f>LOG10(1.010772)</f>
        <v>4.6532027631909032E-3</v>
      </c>
      <c r="D2729">
        <f>LOG10(4.11648)</f>
        <v>0.61452600972428206</v>
      </c>
    </row>
    <row r="2730" spans="1:4">
      <c r="A2730">
        <v>1.017096</v>
      </c>
      <c r="B2730">
        <v>4.0331960000000002</v>
      </c>
      <c r="C2730">
        <f>LOG10(1.017096)</f>
        <v>7.3619463373068086E-3</v>
      </c>
      <c r="D2730">
        <f>LOG10(4.033196)</f>
        <v>0.60564932779737879</v>
      </c>
    </row>
    <row r="2731" spans="1:4">
      <c r="A2731">
        <v>1.0199400000000001</v>
      </c>
      <c r="B2731">
        <v>3.8220839999999998</v>
      </c>
      <c r="C2731">
        <f>LOG10(1.01994)</f>
        <v>8.5746242762839847E-3</v>
      </c>
      <c r="D2731">
        <f>LOG10(3.822084)</f>
        <v>0.58230022754777444</v>
      </c>
    </row>
    <row r="2732" spans="1:4">
      <c r="A2732">
        <v>1.0264610000000001</v>
      </c>
      <c r="B2732">
        <v>4.0328379999999999</v>
      </c>
      <c r="C2732">
        <f>LOG10(1.026461)</f>
        <v>1.1342453164421874E-2</v>
      </c>
      <c r="D2732">
        <f>LOG10(4.032838)</f>
        <v>0.60561077665201446</v>
      </c>
    </row>
    <row r="2733" spans="1:4">
      <c r="A2733">
        <v>1.004116</v>
      </c>
      <c r="B2733">
        <v>1.663038</v>
      </c>
      <c r="C2733">
        <f>LOG10(1.004116)</f>
        <v>1.7838873606268462E-3</v>
      </c>
      <c r="D2733">
        <f>LOG10(1.663038)</f>
        <v>0.22090217285257036</v>
      </c>
    </row>
    <row r="2734" spans="1:4">
      <c r="A2734">
        <v>1.0137480000000001</v>
      </c>
      <c r="B2734">
        <v>3.9702839999999999</v>
      </c>
      <c r="C2734">
        <f>LOG10(1.013748)</f>
        <v>5.9300104105115079E-3</v>
      </c>
      <c r="D2734">
        <f>LOG10(3.970284)</f>
        <v>0.59882157356951971</v>
      </c>
    </row>
    <row r="2735" spans="1:4">
      <c r="A2735">
        <v>1.0102260000000001</v>
      </c>
      <c r="B2735">
        <v>3.9734820000000002</v>
      </c>
      <c r="C2735">
        <f>LOG10(1.010226)</f>
        <v>4.4185416770460744E-3</v>
      </c>
      <c r="D2735">
        <f>LOG10(3.973482)</f>
        <v>0.59917124998953475</v>
      </c>
    </row>
    <row r="2736" spans="1:4">
      <c r="A2736">
        <v>1.021217</v>
      </c>
      <c r="B2736">
        <v>4.2033610000000001</v>
      </c>
      <c r="C2736">
        <f>LOG10(1.021217)</f>
        <v>9.1180358078299193E-3</v>
      </c>
      <c r="D2736">
        <f>LOG10(4.203361)</f>
        <v>0.6235966904040432</v>
      </c>
    </row>
    <row r="2737" spans="1:4">
      <c r="A2737">
        <v>1.013854</v>
      </c>
      <c r="B2737">
        <v>4.127338</v>
      </c>
      <c r="C2737">
        <f>LOG10(1.013854)</f>
        <v>5.9754189424853933E-3</v>
      </c>
      <c r="D2737">
        <f>LOG10(4.127338)</f>
        <v>0.61567003600223336</v>
      </c>
    </row>
    <row r="2738" spans="1:4">
      <c r="A2738">
        <v>1.019906</v>
      </c>
      <c r="B2738">
        <v>3.5074130000000001</v>
      </c>
      <c r="C2738">
        <f>LOG10(1.019906)</f>
        <v>8.5601467006374728E-3</v>
      </c>
      <c r="D2738">
        <f>LOG10(3.507413)</f>
        <v>0.54498690733018351</v>
      </c>
    </row>
    <row r="2739" spans="1:4">
      <c r="A2739">
        <v>1.0174479999999999</v>
      </c>
      <c r="B2739">
        <v>8.8459430000000001</v>
      </c>
      <c r="C2739">
        <f>LOG10(1.017448)</f>
        <v>7.5122224278265613E-3</v>
      </c>
      <c r="D2739">
        <f>LOG10(8.845943)</f>
        <v>0.94674413660884793</v>
      </c>
    </row>
    <row r="2740" spans="1:4">
      <c r="A2740">
        <v>1.016289</v>
      </c>
      <c r="B2740">
        <v>8.7862720000000003</v>
      </c>
      <c r="C2740">
        <f>LOG10(1.016289)</f>
        <v>7.0172249340338874E-3</v>
      </c>
      <c r="D2740">
        <f>LOG10(8.786272)</f>
        <v>0.9438046437586427</v>
      </c>
    </row>
    <row r="2741" spans="1:4">
      <c r="A2741">
        <v>1.0140499999999999</v>
      </c>
      <c r="B2741">
        <v>9.6277760000000008</v>
      </c>
      <c r="C2741">
        <f>LOG10(1.01405)</f>
        <v>6.0593693846345614E-3</v>
      </c>
      <c r="D2741">
        <f>LOG10(9.627776)</f>
        <v>0.98352597741773906</v>
      </c>
    </row>
    <row r="2742" spans="1:4">
      <c r="A2742">
        <v>1.0203169999999999</v>
      </c>
      <c r="B2742">
        <v>9.0287269999999999</v>
      </c>
      <c r="C2742">
        <f>LOG10(1.020317)</f>
        <v>8.7351227051984878E-3</v>
      </c>
      <c r="D2742">
        <f>LOG10(9.028727)</f>
        <v>0.95562652153737127</v>
      </c>
    </row>
    <row r="2743" spans="1:4">
      <c r="A2743">
        <v>1.02024</v>
      </c>
      <c r="B2743">
        <v>10.001882</v>
      </c>
      <c r="C2743">
        <f>LOG10(1.02024)</f>
        <v>8.7023466787288801E-3</v>
      </c>
      <c r="D2743">
        <f>LOG10(10.001882)</f>
        <v>1.0000817265312687</v>
      </c>
    </row>
    <row r="2744" spans="1:4">
      <c r="A2744">
        <v>1.018122</v>
      </c>
      <c r="B2744">
        <v>10.776714999999999</v>
      </c>
      <c r="C2744">
        <f>LOG10(1.018122)</f>
        <v>7.7998219616181126E-3</v>
      </c>
      <c r="D2744">
        <f>LOG10(10.776715)</f>
        <v>1.0324863976976053</v>
      </c>
    </row>
    <row r="2745" spans="1:4">
      <c r="A2745">
        <v>1.0140899999999999</v>
      </c>
      <c r="B2745">
        <v>8.3081080000000007</v>
      </c>
      <c r="C2745">
        <f>LOG10(1.01409)</f>
        <v>6.0765001342656519E-3</v>
      </c>
      <c r="D2745">
        <f>LOG10(8.308108)</f>
        <v>0.91950213344553444</v>
      </c>
    </row>
    <row r="2746" spans="1:4">
      <c r="A2746">
        <v>1.0176810000000001</v>
      </c>
      <c r="B2746">
        <v>9.4849510000000006</v>
      </c>
      <c r="C2746">
        <f>LOG10(1.017681)</f>
        <v>7.6116663596123594E-3</v>
      </c>
      <c r="D2746">
        <f>LOG10(9.484951)</f>
        <v>0.97703509163115676</v>
      </c>
    </row>
    <row r="2747" spans="1:4">
      <c r="A2747">
        <v>1.011852</v>
      </c>
      <c r="B2747">
        <v>8.8943849999999998</v>
      </c>
      <c r="C2747">
        <f>LOG10(1.011852)</f>
        <v>5.1169944368107219E-3</v>
      </c>
      <c r="D2747">
        <f>LOG10(8.894385)</f>
        <v>0.94911592427602798</v>
      </c>
    </row>
    <row r="2748" spans="1:4">
      <c r="A2748">
        <v>1.0145649999999999</v>
      </c>
      <c r="B2748">
        <v>9.4184750000000008</v>
      </c>
      <c r="C2748">
        <f>LOG10(1.014565)</f>
        <v>6.2798761471154719E-3</v>
      </c>
      <c r="D2748">
        <f>LOG10(9.418475)</f>
        <v>0.97398058934273357</v>
      </c>
    </row>
    <row r="2749" spans="1:4">
      <c r="A2749">
        <v>1.014729</v>
      </c>
      <c r="B2749">
        <v>9.0322610000000001</v>
      </c>
      <c r="C2749">
        <f>LOG10(1.014729)</f>
        <v>6.3500722795509085E-3</v>
      </c>
      <c r="D2749">
        <f>LOG10(9.032261)</f>
        <v>0.95579647865363027</v>
      </c>
    </row>
    <row r="2750" spans="1:4">
      <c r="A2750">
        <v>1.015679</v>
      </c>
      <c r="B2750">
        <v>9.1087819999999997</v>
      </c>
      <c r="C2750">
        <f>LOG10(1.015679)</f>
        <v>6.756473148652172E-3</v>
      </c>
      <c r="D2750">
        <f>LOG10(9.108782)</f>
        <v>0.9594603082525156</v>
      </c>
    </row>
    <row r="2751" spans="1:4">
      <c r="A2751">
        <v>1.0167139999999999</v>
      </c>
      <c r="B2751">
        <v>8.8251369999999998</v>
      </c>
      <c r="C2751">
        <f>LOG10(1.016714)</f>
        <v>7.1988037683962652E-3</v>
      </c>
      <c r="D2751">
        <f>LOG10(8.825137)</f>
        <v>0.94572145602951418</v>
      </c>
    </row>
    <row r="2752" spans="1:4">
      <c r="A2752">
        <v>1.0163930000000001</v>
      </c>
      <c r="B2752">
        <v>8.8257290000000008</v>
      </c>
      <c r="C2752">
        <f>LOG10(1.016393)</f>
        <v>7.0616653592035844E-3</v>
      </c>
      <c r="D2752">
        <f>LOG10(8.825729)</f>
        <v>0.94575058800903111</v>
      </c>
    </row>
    <row r="2753" spans="1:4">
      <c r="A2753">
        <v>1.0159050000000001</v>
      </c>
      <c r="B2753">
        <v>10.507739000000001</v>
      </c>
      <c r="C2753">
        <f>LOG10(1.015905)</f>
        <v>6.853097805388033E-3</v>
      </c>
      <c r="D2753">
        <f>LOG10(10.507739)</f>
        <v>1.0215092768788294</v>
      </c>
    </row>
    <row r="2754" spans="1:4">
      <c r="A2754">
        <v>1.01132</v>
      </c>
      <c r="B2754">
        <v>9.0715719999999997</v>
      </c>
      <c r="C2754">
        <f>LOG10(1.01132)</f>
        <v>4.8885959915004103E-3</v>
      </c>
      <c r="D2754">
        <f>LOG10(9.071572)</f>
        <v>0.9576825518637474</v>
      </c>
    </row>
    <row r="2755" spans="1:4">
      <c r="A2755">
        <v>1.4531350000000001</v>
      </c>
      <c r="B2755">
        <v>8.0697890000000001</v>
      </c>
      <c r="C2755">
        <f>LOG10(1.453135)</f>
        <v>0.16230596325297314</v>
      </c>
      <c r="D2755">
        <f>LOG10(8.069789)</f>
        <v>0.90686217941430436</v>
      </c>
    </row>
    <row r="2756" spans="1:4">
      <c r="A2756">
        <v>1.018311</v>
      </c>
      <c r="B2756">
        <v>8.3207129999999996</v>
      </c>
      <c r="C2756">
        <f>LOG10(1.018311)</f>
        <v>7.8804351291668455E-3</v>
      </c>
      <c r="D2756">
        <f>LOG10(8.320713)</f>
        <v>0.92016054248041323</v>
      </c>
    </row>
    <row r="2757" spans="1:4">
      <c r="A2757">
        <v>1.0168919999999999</v>
      </c>
      <c r="B2757">
        <v>8.0230779999999999</v>
      </c>
      <c r="C2757">
        <f>LOG10(1.016892)</f>
        <v>7.2748307057442108E-3</v>
      </c>
      <c r="D2757">
        <f>LOG10(8.023078)</f>
        <v>0.90434101441425152</v>
      </c>
    </row>
    <row r="2758" spans="1:4">
      <c r="A2758">
        <v>1.0172890000000001</v>
      </c>
      <c r="B2758">
        <v>7.9914350000000001</v>
      </c>
      <c r="C2758">
        <f>LOG10(1.017289)</f>
        <v>7.4443484738334099E-3</v>
      </c>
      <c r="D2758">
        <f>LOG10(7.991435)</f>
        <v>0.90262477138206365</v>
      </c>
    </row>
    <row r="2759" spans="1:4">
      <c r="A2759">
        <v>1.0197149999999999</v>
      </c>
      <c r="B2759">
        <v>7.4899089999999999</v>
      </c>
      <c r="C2759">
        <f>LOG10(1.019715)</f>
        <v>8.478807818280391E-3</v>
      </c>
      <c r="D2759">
        <f>LOG10(7.489909)</f>
        <v>0.87447654119239904</v>
      </c>
    </row>
    <row r="2760" spans="1:4">
      <c r="A2760">
        <v>1.021517</v>
      </c>
      <c r="B2760">
        <v>7.267862</v>
      </c>
      <c r="C2760">
        <f>LOG10(1.021517)</f>
        <v>9.2455985208485178E-3</v>
      </c>
      <c r="D2760">
        <f>LOG10(7.267862)</f>
        <v>0.86140667245995228</v>
      </c>
    </row>
    <row r="2761" spans="1:4">
      <c r="A2761">
        <v>1.026065</v>
      </c>
      <c r="B2761">
        <v>6.8180180000000004</v>
      </c>
      <c r="C2761">
        <f>LOG10(1.026065)</f>
        <v>1.1174873687262899E-2</v>
      </c>
      <c r="D2761">
        <f>LOG10(6.818018)</f>
        <v>0.83365814345936629</v>
      </c>
    </row>
    <row r="2762" spans="1:4">
      <c r="A2762">
        <v>1.0233289999999999</v>
      </c>
      <c r="B2762">
        <v>7.256259</v>
      </c>
      <c r="C2762">
        <f>LOG10(1.023329)</f>
        <v>1.0015281721622233E-2</v>
      </c>
      <c r="D2762">
        <f>LOG10(7.256259)</f>
        <v>0.86071277574213756</v>
      </c>
    </row>
    <row r="2763" spans="1:4">
      <c r="A2763">
        <v>1.0189159999999999</v>
      </c>
      <c r="B2763">
        <v>7.3911600000000002</v>
      </c>
      <c r="C2763">
        <f>LOG10(1.018916)</f>
        <v>8.1383820042824767E-3</v>
      </c>
      <c r="D2763">
        <f>LOG10(7.39116)</f>
        <v>0.86871260376209625</v>
      </c>
    </row>
    <row r="2764" spans="1:4">
      <c r="A2764">
        <v>1.0186360000000001</v>
      </c>
      <c r="B2764">
        <v>6.8698870000000003</v>
      </c>
      <c r="C2764">
        <f>LOG10(1.018636)</f>
        <v>8.0190206768677216E-3</v>
      </c>
      <c r="D2764">
        <f>LOG10(6.869887)</f>
        <v>0.8369495935835588</v>
      </c>
    </row>
    <row r="2765" spans="1:4">
      <c r="A2765">
        <v>1.02379</v>
      </c>
      <c r="B2765">
        <v>6.4334559999999996</v>
      </c>
      <c r="C2765">
        <f>LOG10(1.02379)</f>
        <v>1.0210883207946967E-2</v>
      </c>
      <c r="D2765">
        <f>LOG10(6.433456)</f>
        <v>0.80844433505731772</v>
      </c>
    </row>
    <row r="2766" spans="1:4">
      <c r="A2766">
        <v>1.016124</v>
      </c>
      <c r="B2766">
        <v>6.630325</v>
      </c>
      <c r="C2766">
        <f>LOG10(1.016124)</f>
        <v>6.9467091582821527E-3</v>
      </c>
      <c r="D2766">
        <f>LOG10(6.630325)</f>
        <v>0.82153481682819363</v>
      </c>
    </row>
    <row r="2767" spans="1:4">
      <c r="A2767">
        <v>1.0167269999999999</v>
      </c>
      <c r="B2767">
        <v>6.9223840000000001</v>
      </c>
      <c r="C2767">
        <f>LOG10(1.016727)</f>
        <v>7.2043567480645585E-3</v>
      </c>
      <c r="D2767">
        <f>LOG10(6.922384)</f>
        <v>0.84025568690486419</v>
      </c>
    </row>
    <row r="2768" spans="1:4">
      <c r="A2768">
        <v>1.015582</v>
      </c>
      <c r="B2768">
        <v>6.6123320000000003</v>
      </c>
      <c r="C2768">
        <f>LOG10(1.015582)</f>
        <v>6.7149949094927105E-3</v>
      </c>
      <c r="D2768">
        <f>LOG10(6.612332)</f>
        <v>0.82035465103192717</v>
      </c>
    </row>
    <row r="2769" spans="1:4">
      <c r="A2769">
        <v>1.017012</v>
      </c>
      <c r="B2769">
        <v>6.8144989999999996</v>
      </c>
      <c r="C2769">
        <f>LOG10(1.017012)</f>
        <v>7.326077311177813E-3</v>
      </c>
      <c r="D2769">
        <f>LOG10(6.814499)</f>
        <v>0.8334339321393639</v>
      </c>
    </row>
    <row r="2770" spans="1:4">
      <c r="A2770">
        <v>1.0222169999999999</v>
      </c>
      <c r="B2770">
        <v>7.0493690000000004</v>
      </c>
      <c r="C2770">
        <f>LOG10(1.022217)</f>
        <v>9.5430992222316074E-3</v>
      </c>
      <c r="D2770">
        <f>LOG10(7.049369)</f>
        <v>0.84815024435557174</v>
      </c>
    </row>
    <row r="2771" spans="1:4">
      <c r="A2771">
        <v>1.02505</v>
      </c>
      <c r="B2771">
        <v>6.9221550000000001</v>
      </c>
      <c r="C2771">
        <f>LOG10(1.02505)</f>
        <v>1.0745049971758446E-2</v>
      </c>
      <c r="D2771">
        <f>LOG10(6.922155)</f>
        <v>0.84024131973288896</v>
      </c>
    </row>
    <row r="2772" spans="1:4">
      <c r="A2772">
        <v>1.023334</v>
      </c>
      <c r="B2772">
        <v>6.7519090000000004</v>
      </c>
      <c r="C2772">
        <f>LOG10(1.023334)</f>
        <v>1.0017403685433114E-2</v>
      </c>
      <c r="D2772">
        <f>LOG10(6.751909)</f>
        <v>0.82942658037942096</v>
      </c>
    </row>
    <row r="2773" spans="1:4">
      <c r="A2773">
        <v>1.018669</v>
      </c>
      <c r="B2773">
        <v>7.0454569999999999</v>
      </c>
      <c r="C2773">
        <f>LOG10(1.018669)</f>
        <v>8.0330899673313871E-3</v>
      </c>
      <c r="D2773">
        <f>LOG10(7.045457)</f>
        <v>0.84790916865065258</v>
      </c>
    </row>
    <row r="2774" spans="1:4">
      <c r="A2774">
        <v>1.0151870000000001</v>
      </c>
      <c r="B2774">
        <v>6.7779069999999999</v>
      </c>
      <c r="C2774">
        <f>LOG10(1.015187)</f>
        <v>6.5460477544838115E-3</v>
      </c>
      <c r="D2774">
        <f>LOG10(6.777907)</f>
        <v>0.83109560556599382</v>
      </c>
    </row>
    <row r="2775" spans="1:4">
      <c r="A2775">
        <v>1.0274179999999999</v>
      </c>
      <c r="B2775">
        <v>7.8582210000000003</v>
      </c>
      <c r="C2775">
        <f>LOG10(1.027418)</f>
        <v>1.1747170140698837E-2</v>
      </c>
      <c r="D2775">
        <f>LOG10(7.858221)</f>
        <v>0.89532423849091314</v>
      </c>
    </row>
    <row r="2776" spans="1:4">
      <c r="A2776">
        <v>1.0167310000000001</v>
      </c>
      <c r="B2776">
        <v>7.6662429999999997</v>
      </c>
      <c r="C2776">
        <f>LOG10(1.016731)</f>
        <v>7.2060653429090694E-3</v>
      </c>
      <c r="D2776">
        <f>LOG10(7.666243)</f>
        <v>0.88458258114407229</v>
      </c>
    </row>
    <row r="2777" spans="1:4">
      <c r="A2777">
        <v>1.0181260000000001</v>
      </c>
      <c r="B2777">
        <v>8.2489279999999994</v>
      </c>
      <c r="C2777">
        <f>LOG10(1.018126)</f>
        <v>7.8015282154021946E-3</v>
      </c>
      <c r="D2777">
        <f>LOG10(8.248928)</f>
        <v>0.9163975129214702</v>
      </c>
    </row>
    <row r="2778" spans="1:4">
      <c r="A2778">
        <v>1.0172019999999999</v>
      </c>
      <c r="B2778">
        <v>8.2569239999999997</v>
      </c>
      <c r="C2778">
        <f>LOG10(1.017202)</f>
        <v>7.4072054046837423E-3</v>
      </c>
      <c r="D2778">
        <f>LOG10(8.256924)</f>
        <v>0.91681828719582403</v>
      </c>
    </row>
    <row r="2779" spans="1:4">
      <c r="A2779">
        <v>1.024286</v>
      </c>
      <c r="B2779">
        <v>8.7619869999999995</v>
      </c>
      <c r="C2779">
        <f>LOG10(1.024286)</f>
        <v>1.0421236795641305E-2</v>
      </c>
      <c r="D2779">
        <f>LOG10(8.761987)</f>
        <v>0.94260260448784783</v>
      </c>
    </row>
    <row r="2780" spans="1:4">
      <c r="A2780">
        <v>1.0231650000000001</v>
      </c>
      <c r="B2780">
        <v>8.2533619999999992</v>
      </c>
      <c r="C2780">
        <f>LOG10(1.023165)</f>
        <v>9.9456755608570164E-3</v>
      </c>
      <c r="D2780">
        <f>LOG10(8.253362)</f>
        <v>0.91663089407997611</v>
      </c>
    </row>
    <row r="2781" spans="1:4">
      <c r="A2781">
        <v>1.0189319999999999</v>
      </c>
      <c r="B2781">
        <v>8.4549020000000006</v>
      </c>
      <c r="C2781">
        <f>LOG10(1.018932)</f>
        <v>8.1452016608128969E-3</v>
      </c>
      <c r="D2781">
        <f>LOG10(8.454902)</f>
        <v>0.92710857809509883</v>
      </c>
    </row>
    <row r="2782" spans="1:4">
      <c r="A2782">
        <v>1.010804</v>
      </c>
      <c r="B2782">
        <v>2.785927</v>
      </c>
      <c r="C2782">
        <f>LOG10(1.010804)</f>
        <v>4.666951861342126E-3</v>
      </c>
      <c r="D2782">
        <f>LOG10(2.785927)</f>
        <v>0.44496973236341464</v>
      </c>
    </row>
    <row r="2783" spans="1:4">
      <c r="A2783">
        <v>1.0146139999999999</v>
      </c>
      <c r="B2783">
        <v>8.8296530000000004</v>
      </c>
      <c r="C2783">
        <f>LOG10(1.014614)</f>
        <v>6.3008505703845679E-3</v>
      </c>
      <c r="D2783">
        <f>LOG10(8.829653)</f>
        <v>0.94594363640357149</v>
      </c>
    </row>
    <row r="2784" spans="1:4">
      <c r="A2784">
        <v>1.016392</v>
      </c>
      <c r="B2784">
        <v>8.3980949999999996</v>
      </c>
      <c r="C2784">
        <f>LOG10(1.016392)</f>
        <v>7.0612380690750522E-3</v>
      </c>
      <c r="D2784">
        <f>LOG10(8.398095)</f>
        <v>0.92418078310763918</v>
      </c>
    </row>
    <row r="2785" spans="1:4">
      <c r="A2785">
        <v>1.01824</v>
      </c>
      <c r="B2785">
        <v>9.0522989999999997</v>
      </c>
      <c r="C2785">
        <f>LOG10(1.01824)</f>
        <v>7.8501536304687088E-3</v>
      </c>
      <c r="D2785">
        <f>LOG10(9.052299)</f>
        <v>0.95675889038935324</v>
      </c>
    </row>
    <row r="2786" spans="1:4">
      <c r="A2786">
        <v>1.0130939999999999</v>
      </c>
      <c r="B2786">
        <v>4.5417899999999998</v>
      </c>
      <c r="C2786">
        <f>LOG10(1.013094)</f>
        <v>5.6497432747189191E-3</v>
      </c>
      <c r="D2786">
        <f>LOG10(4.54179)</f>
        <v>0.65722704975389923</v>
      </c>
    </row>
    <row r="2787" spans="1:4">
      <c r="A2787">
        <v>1.024397</v>
      </c>
      <c r="B2787">
        <v>4.4459619999999997</v>
      </c>
      <c r="C2787">
        <f>LOG10(1.024397)</f>
        <v>1.0468297944231321E-2</v>
      </c>
      <c r="D2787">
        <f>LOG10(4.445962)</f>
        <v>0.64796574642846005</v>
      </c>
    </row>
    <row r="2788" spans="1:4">
      <c r="A2788">
        <v>1.018729</v>
      </c>
      <c r="B2788">
        <v>3.9134229999999999</v>
      </c>
      <c r="C2788">
        <f>LOG10(1.018729)</f>
        <v>8.0586693277918432E-3</v>
      </c>
      <c r="D2788">
        <f>LOG10(3.913423)</f>
        <v>0.59255679311844411</v>
      </c>
    </row>
    <row r="2789" spans="1:4">
      <c r="A2789">
        <v>1.0270950000000001</v>
      </c>
      <c r="B2789">
        <v>4.2637859999999996</v>
      </c>
      <c r="C2789">
        <f>LOG10(1.027095)</f>
        <v>1.161061503609701E-2</v>
      </c>
      <c r="D2789">
        <f>LOG10(4.263786)</f>
        <v>0.62979539926631145</v>
      </c>
    </row>
    <row r="2790" spans="1:4">
      <c r="A2790">
        <v>1.0094939999999999</v>
      </c>
      <c r="B2790">
        <v>4.461544</v>
      </c>
      <c r="C2790">
        <f>LOG10(1.009494)</f>
        <v>4.1037420269238317E-3</v>
      </c>
      <c r="D2790">
        <f>LOG10(4.461544)</f>
        <v>0.64948518037995029</v>
      </c>
    </row>
    <row r="2791" spans="1:4">
      <c r="A2791">
        <v>1.0216270000000001</v>
      </c>
      <c r="B2791">
        <v>4.4740909999999996</v>
      </c>
      <c r="C2791">
        <f>LOG10(1.021627)</f>
        <v>9.2923621293416435E-3</v>
      </c>
      <c r="D2791">
        <f>LOG10(4.474091)</f>
        <v>0.65070481310793704</v>
      </c>
    </row>
    <row r="2792" spans="1:4">
      <c r="A2792">
        <v>1.0112950000000001</v>
      </c>
      <c r="B2792">
        <v>4.1198779999999999</v>
      </c>
      <c r="C2792">
        <f>LOG10(1.011295)</f>
        <v>4.8778600263779236E-3</v>
      </c>
      <c r="D2792">
        <f>LOG10(4.119878)</f>
        <v>0.61488435566631938</v>
      </c>
    </row>
    <row r="2793" spans="1:4">
      <c r="A2793">
        <v>1.009199</v>
      </c>
      <c r="B2793">
        <v>4.2927900000000001</v>
      </c>
      <c r="C2793">
        <f>LOG10(1.009199)</f>
        <v>3.9768115099275197E-3</v>
      </c>
      <c r="D2793">
        <f>LOG10(4.29279)</f>
        <v>0.63273964364554047</v>
      </c>
    </row>
    <row r="2794" spans="1:4">
      <c r="A2794">
        <v>1.0227090000000001</v>
      </c>
      <c r="B2794">
        <v>4.337459</v>
      </c>
      <c r="C2794">
        <f>LOG10(1.022709)</f>
        <v>9.7520778250948636E-3</v>
      </c>
      <c r="D2794">
        <f>LOG10(4.337459)</f>
        <v>0.63723538263284041</v>
      </c>
    </row>
    <row r="2795" spans="1:4">
      <c r="A2795">
        <v>1.011498</v>
      </c>
      <c r="B2795">
        <v>4.3493490000000001</v>
      </c>
      <c r="C2795">
        <f>LOG10(1.011498)</f>
        <v>4.9650283922189273E-3</v>
      </c>
      <c r="D2795">
        <f>LOG10(4.349349)</f>
        <v>0.63842425767520927</v>
      </c>
    </row>
    <row r="2796" spans="1:4">
      <c r="A2796">
        <v>1.0112429999999999</v>
      </c>
      <c r="B2796">
        <v>4.0817059999999996</v>
      </c>
      <c r="C2796">
        <f>LOG10(1.011243)</f>
        <v>4.8555283687635644E-3</v>
      </c>
      <c r="D2796">
        <f>LOG10(4.081706)</f>
        <v>0.61084171983718671</v>
      </c>
    </row>
    <row r="2797" spans="1:4">
      <c r="A2797">
        <v>1.0054590000000001</v>
      </c>
      <c r="B2797">
        <v>4.2099460000000004</v>
      </c>
      <c r="C2797">
        <f>LOG10(1.005459)</f>
        <v>2.3643658956690331E-3</v>
      </c>
      <c r="D2797">
        <f>LOG10(4.209946)</f>
        <v>0.62427652527689681</v>
      </c>
    </row>
    <row r="2798" spans="1:4">
      <c r="A2798">
        <v>1.0154810000000001</v>
      </c>
      <c r="B2798">
        <v>4.0949359999999997</v>
      </c>
      <c r="C2798">
        <f>LOG10(1.015481)</f>
        <v>6.6718020171911479E-3</v>
      </c>
      <c r="D2798">
        <f>LOG10(4.094936)</f>
        <v>0.61224711853501002</v>
      </c>
    </row>
    <row r="2799" spans="1:4">
      <c r="A2799">
        <v>1.006472</v>
      </c>
      <c r="B2799">
        <v>4.0196170000000002</v>
      </c>
      <c r="C2799">
        <f>LOG10(1.006472)</f>
        <v>2.8016973422685331E-3</v>
      </c>
      <c r="D2799">
        <f>LOG10(4.019617)</f>
        <v>0.60418467430070599</v>
      </c>
    </row>
    <row r="2800" spans="1:4">
      <c r="A2800">
        <v>1.018103</v>
      </c>
      <c r="B2800">
        <v>4.1801810000000001</v>
      </c>
      <c r="C2800">
        <f>LOG10(1.018103)</f>
        <v>7.7917171645977461E-3</v>
      </c>
      <c r="D2800">
        <f>LOG10(4.180181)</f>
        <v>0.62119508694234837</v>
      </c>
    </row>
    <row r="2801" spans="1:4">
      <c r="A2801">
        <v>1.013666</v>
      </c>
      <c r="B2801">
        <v>4.0975169999999999</v>
      </c>
      <c r="C2801">
        <f>LOG10(1.013666)</f>
        <v>5.8948797982778496E-3</v>
      </c>
      <c r="D2801">
        <f>LOG10(4.097517)</f>
        <v>0.61252076407069456</v>
      </c>
    </row>
    <row r="2802" spans="1:4">
      <c r="A2802">
        <v>1.0062009999999999</v>
      </c>
      <c r="B2802">
        <v>4.1808930000000002</v>
      </c>
      <c r="C2802">
        <f>LOG10(1.006201)</f>
        <v>2.684744607962372E-3</v>
      </c>
      <c r="D2802">
        <f>LOG10(4.180893)</f>
        <v>0.62126905295959989</v>
      </c>
    </row>
    <row r="2803" spans="1:4">
      <c r="A2803">
        <v>1.0115909999999999</v>
      </c>
      <c r="B2803">
        <v>4.1383910000000004</v>
      </c>
      <c r="C2803">
        <f>LOG10(1.011591)</f>
        <v>5.0049568252689891E-3</v>
      </c>
      <c r="D2803">
        <f>LOG10(4.138391)</f>
        <v>0.61683152091654248</v>
      </c>
    </row>
    <row r="2804" spans="1:4">
      <c r="A2804">
        <v>1.0139290000000001</v>
      </c>
      <c r="B2804">
        <v>4.064972</v>
      </c>
      <c r="C2804">
        <f>LOG10(1.013929)</f>
        <v>6.0075447529469835E-3</v>
      </c>
      <c r="D2804">
        <f>LOG10(4.064972)</f>
        <v>0.6090575584694784</v>
      </c>
    </row>
    <row r="2805" spans="1:4">
      <c r="A2805">
        <v>1.0098780000000001</v>
      </c>
      <c r="B2805">
        <v>3.3765540000000001</v>
      </c>
      <c r="C2805">
        <f>LOG10(1.009878)</f>
        <v>4.2689112805938323E-3</v>
      </c>
      <c r="D2805">
        <f>LOG10(3.376554)</f>
        <v>0.52847369962542767</v>
      </c>
    </row>
    <row r="2806" spans="1:4">
      <c r="A2806">
        <v>1.0073970000000001</v>
      </c>
      <c r="B2806">
        <v>3.6158579999999998</v>
      </c>
      <c r="C2806">
        <f>LOG10(1.007397)</f>
        <v>3.2006532068367044E-3</v>
      </c>
      <c r="D2806">
        <f>LOG10(3.615858)</f>
        <v>0.55821136676257732</v>
      </c>
    </row>
    <row r="2807" spans="1:4">
      <c r="A2807">
        <v>1.022294</v>
      </c>
      <c r="B2807">
        <v>3.6203690000000002</v>
      </c>
      <c r="C2807">
        <f>LOG10(1.022294)</f>
        <v>9.5758118612170734E-3</v>
      </c>
      <c r="D2807">
        <f>LOG10(3.620369)</f>
        <v>0.55875283752120486</v>
      </c>
    </row>
    <row r="2808" spans="1:4">
      <c r="A2808">
        <v>1.0089859999999999</v>
      </c>
      <c r="B2808">
        <v>3.6492610000000001</v>
      </c>
      <c r="C2808">
        <f>LOG10(1.008986)</f>
        <v>3.8851403053661304E-3</v>
      </c>
      <c r="D2808">
        <f>LOG10(3.649261)</f>
        <v>0.56220492579440384</v>
      </c>
    </row>
    <row r="2809" spans="1:4">
      <c r="A2809">
        <v>1.0059499999999999</v>
      </c>
      <c r="B2809">
        <v>3.9350990000000001</v>
      </c>
      <c r="C2809">
        <f>LOG10(1.00595)</f>
        <v>2.5763949706606721E-3</v>
      </c>
      <c r="D2809">
        <f>LOG10(3.935099)</f>
        <v>0.59495566289911483</v>
      </c>
    </row>
    <row r="2810" spans="1:4">
      <c r="A2810">
        <v>1.0106189999999999</v>
      </c>
      <c r="B2810">
        <v>3.6978629999999999</v>
      </c>
      <c r="C2810">
        <f>LOG10(1.010619)</f>
        <v>4.5874588711303163E-3</v>
      </c>
      <c r="D2810">
        <f>LOG10(3.697863)</f>
        <v>0.56795081719466123</v>
      </c>
    </row>
    <row r="2811" spans="1:4">
      <c r="A2811">
        <v>1.005233</v>
      </c>
      <c r="B2811">
        <v>3.757571</v>
      </c>
      <c r="C2811">
        <f>LOG10(1.005233)</f>
        <v>2.2667372650050717E-3</v>
      </c>
      <c r="D2811">
        <f>LOG10(3.757571)</f>
        <v>0.57490719541114743</v>
      </c>
    </row>
    <row r="2812" spans="1:4">
      <c r="A2812">
        <v>1.0085249999999999</v>
      </c>
      <c r="B2812">
        <v>3.6464660000000002</v>
      </c>
      <c r="C2812">
        <f>LOG10(1.008525)</f>
        <v>3.6866682676504831E-3</v>
      </c>
      <c r="D2812">
        <f>LOG10(3.646466)</f>
        <v>0.56187216851434008</v>
      </c>
    </row>
    <row r="2813" spans="1:4">
      <c r="A2813">
        <v>1.0101720000000001</v>
      </c>
      <c r="B2813">
        <v>3.7108620000000001</v>
      </c>
      <c r="C2813">
        <f>LOG10(1.010172)</f>
        <v>4.3953265461378482E-3</v>
      </c>
      <c r="D2813">
        <f>LOG10(3.710862)</f>
        <v>0.56947480405159101</v>
      </c>
    </row>
    <row r="2814" spans="1:4">
      <c r="A2814">
        <v>1.008421</v>
      </c>
      <c r="B2814">
        <v>3.901484</v>
      </c>
      <c r="C2814">
        <f>LOG10(1.008421)</f>
        <v>3.6418811229694498E-3</v>
      </c>
      <c r="D2814">
        <f>LOG10(3.901484)</f>
        <v>0.5912298302119644</v>
      </c>
    </row>
    <row r="2815" spans="1:4">
      <c r="A2815">
        <v>1.019754</v>
      </c>
      <c r="B2815">
        <v>3.8631259999999998</v>
      </c>
      <c r="C2815">
        <f>LOG10(1.019754)</f>
        <v>8.495417518939086E-3</v>
      </c>
      <c r="D2815">
        <f>LOG10(3.863126)</f>
        <v>0.58693887335639583</v>
      </c>
    </row>
    <row r="2816" spans="1:4">
      <c r="A2816">
        <v>1.00773</v>
      </c>
      <c r="B2816">
        <v>3.5843389999999999</v>
      </c>
      <c r="C2816">
        <f>LOG10(1.00773)</f>
        <v>3.3441876478820139E-3</v>
      </c>
      <c r="D2816">
        <f>LOG10(3.584339)</f>
        <v>0.55440907768288206</v>
      </c>
    </row>
    <row r="2817" spans="1:4">
      <c r="A2817">
        <v>1.0235609999999999</v>
      </c>
      <c r="B2817">
        <v>3.7627739999999998</v>
      </c>
      <c r="C2817">
        <f>LOG10(1.023561)</f>
        <v>1.0113729923756217E-2</v>
      </c>
      <c r="D2817">
        <f>LOG10(3.762774)</f>
        <v>0.57550813447707561</v>
      </c>
    </row>
    <row r="2818" spans="1:4">
      <c r="A2818">
        <v>1.0082</v>
      </c>
      <c r="B2818">
        <v>3.6656260000000001</v>
      </c>
      <c r="C2818">
        <f>LOG10(1.0082)</f>
        <v>3.546693102131761E-3</v>
      </c>
      <c r="D2818">
        <f>LOG10(3.665626)</f>
        <v>0.56414815227321513</v>
      </c>
    </row>
    <row r="2819" spans="1:4">
      <c r="A2819">
        <v>1.0075019999999999</v>
      </c>
      <c r="B2819">
        <v>3.6530170000000002</v>
      </c>
      <c r="C2819">
        <f>LOG10(1.007502)</f>
        <v>3.2459169353323092E-3</v>
      </c>
      <c r="D2819">
        <f>LOG10(3.653017)</f>
        <v>0.56265169328747466</v>
      </c>
    </row>
    <row r="2820" spans="1:4">
      <c r="A2820">
        <v>1.020489</v>
      </c>
      <c r="B2820">
        <v>3.7619929999999999</v>
      </c>
      <c r="C2820">
        <f>LOG10(1.020489)</f>
        <v>8.8083277536589993E-3</v>
      </c>
      <c r="D2820">
        <f>LOG10(3.761993)</f>
        <v>0.57541798311648618</v>
      </c>
    </row>
    <row r="2821" spans="1:4">
      <c r="A2821">
        <v>1.0166489999999999</v>
      </c>
      <c r="B2821">
        <v>3.603539</v>
      </c>
      <c r="C2821">
        <f>LOG10(1.016649)</f>
        <v>7.1710378049816472E-3</v>
      </c>
      <c r="D2821">
        <f>LOG10(3.603539)</f>
        <v>0.55672922665718971</v>
      </c>
    </row>
    <row r="2822" spans="1:4">
      <c r="A2822">
        <v>1.0163439999999999</v>
      </c>
      <c r="B2822">
        <v>3.681924</v>
      </c>
      <c r="C2822">
        <f>LOG10(1.016344)</f>
        <v>7.0407276485037126E-3</v>
      </c>
      <c r="D2822">
        <f>LOG10(3.681924)</f>
        <v>0.56607481982218633</v>
      </c>
    </row>
    <row r="2823" spans="1:4">
      <c r="A2823">
        <v>1.015196</v>
      </c>
      <c r="B2823">
        <v>3.581591</v>
      </c>
      <c r="C2823">
        <f>LOG10(1.015196)</f>
        <v>6.5498979151058442E-3</v>
      </c>
      <c r="D2823">
        <f>LOG10(3.581591)</f>
        <v>0.55407599005998542</v>
      </c>
    </row>
    <row r="2824" spans="1:4">
      <c r="A2824">
        <v>1.0081500000000001</v>
      </c>
      <c r="B2824">
        <v>3.8443320000000001</v>
      </c>
      <c r="C2824">
        <f>LOG10(1.00815)</f>
        <v>3.5251544564605603E-3</v>
      </c>
      <c r="D2824">
        <f>LOG10(3.844332)</f>
        <v>0.58482088668168097</v>
      </c>
    </row>
    <row r="2825" spans="1:4">
      <c r="A2825">
        <v>1.0180309999999999</v>
      </c>
      <c r="B2825">
        <v>3.686156</v>
      </c>
      <c r="C2825">
        <f>LOG10(1.018031)</f>
        <v>7.7610028769230658E-3</v>
      </c>
      <c r="D2825">
        <f>LOG10(3.686156)</f>
        <v>0.5665737108357275</v>
      </c>
    </row>
    <row r="2826" spans="1:4">
      <c r="A2826">
        <v>1.0064120000000001</v>
      </c>
      <c r="B2826">
        <v>3.7583579999999999</v>
      </c>
      <c r="C2826">
        <f>LOG10(1.006412)</f>
        <v>2.7758064623947896E-3</v>
      </c>
      <c r="D2826">
        <f>LOG10(3.758358)</f>
        <v>0.57499814617944411</v>
      </c>
    </row>
    <row r="2827" spans="1:4">
      <c r="A2827">
        <v>1.0126250000000001</v>
      </c>
      <c r="B2827">
        <v>3.8355480000000002</v>
      </c>
      <c r="C2827">
        <f>LOG10(1.012625)</f>
        <v>5.4486451800158566E-3</v>
      </c>
      <c r="D2827">
        <f>LOG10(3.835548)</f>
        <v>0.58382742209823135</v>
      </c>
    </row>
    <row r="2828" spans="1:4">
      <c r="A2828">
        <v>1.0191030000000001</v>
      </c>
      <c r="B2828">
        <v>3.7935989999999999</v>
      </c>
      <c r="C2828">
        <f>LOG10(1.019103)</f>
        <v>8.218080052577308E-3</v>
      </c>
      <c r="D2828">
        <f>LOG10(3.793599)</f>
        <v>0.57905142215326644</v>
      </c>
    </row>
    <row r="2829" spans="1:4">
      <c r="A2829">
        <v>1.012605</v>
      </c>
      <c r="B2829">
        <v>3.9956719999999999</v>
      </c>
      <c r="C2829">
        <f>LOG10(1.012605)</f>
        <v>5.4400674978381247E-3</v>
      </c>
      <c r="D2829">
        <f>LOG10(3.995672)</f>
        <v>0.60158983029553059</v>
      </c>
    </row>
    <row r="2830" spans="1:4">
      <c r="A2830">
        <v>1.019085</v>
      </c>
      <c r="B2830">
        <v>3.9964019999999998</v>
      </c>
      <c r="C2830">
        <f>LOG10(1.019085)</f>
        <v>8.210409218802903E-3</v>
      </c>
      <c r="D2830">
        <f>LOG10(3.996402)</f>
        <v>0.6016691676421746</v>
      </c>
    </row>
    <row r="2831" spans="1:4">
      <c r="A2831">
        <v>1.0134339999999999</v>
      </c>
      <c r="B2831">
        <v>3.7636919999999998</v>
      </c>
      <c r="C2831">
        <f>LOG10(1.013434)</f>
        <v>5.7954704743752479E-3</v>
      </c>
      <c r="D2831">
        <f>LOG10(3.763692)</f>
        <v>0.57561407592060676</v>
      </c>
    </row>
    <row r="2832" spans="1:4">
      <c r="A2832">
        <v>1.0082249999999999</v>
      </c>
      <c r="B2832">
        <v>4.0318170000000002</v>
      </c>
      <c r="C2832">
        <f>LOG10(1.008225)</f>
        <v>3.5574620244056988E-3</v>
      </c>
      <c r="D2832">
        <f>LOG10(4.031817)</f>
        <v>0.60550081170784953</v>
      </c>
    </row>
    <row r="2833" spans="1:4">
      <c r="A2833">
        <v>1.015911</v>
      </c>
      <c r="B2833">
        <v>3.921767</v>
      </c>
      <c r="C2833">
        <f>LOG10(1.015911)</f>
        <v>6.8556627688408315E-3</v>
      </c>
      <c r="D2833">
        <f>LOG10(3.921767)</f>
        <v>0.59348178779678507</v>
      </c>
    </row>
    <row r="2834" spans="1:4">
      <c r="A2834">
        <v>1.0190790000000001</v>
      </c>
      <c r="B2834">
        <v>9.4346669999999992</v>
      </c>
      <c r="C2834">
        <f>LOG10(1.019079)</f>
        <v>8.2078522441027257E-3</v>
      </c>
      <c r="D2834">
        <f>LOG10(9.434667)</f>
        <v>0.97472657618991121</v>
      </c>
    </row>
    <row r="2835" spans="1:4">
      <c r="A2835">
        <v>1.024349</v>
      </c>
      <c r="B2835">
        <v>10.772482</v>
      </c>
      <c r="C2835">
        <f>LOG10(1.024349)</f>
        <v>1.044794780308626E-2</v>
      </c>
      <c r="D2835">
        <f>LOG10(10.772482)</f>
        <v>1.0323157770878868</v>
      </c>
    </row>
    <row r="2836" spans="1:4">
      <c r="A2836">
        <v>1.021331</v>
      </c>
      <c r="B2836">
        <v>8.1965640000000004</v>
      </c>
      <c r="C2836">
        <f>LOG10(1.021331)</f>
        <v>9.1665140526382242E-3</v>
      </c>
      <c r="D2836">
        <f>LOG10(8.196564)</f>
        <v>0.9136318342655716</v>
      </c>
    </row>
    <row r="2837" spans="1:4">
      <c r="A2837">
        <v>1.0281769999999999</v>
      </c>
      <c r="B2837">
        <v>10.102603</v>
      </c>
      <c r="C2837">
        <f>LOG10(1.028177)</f>
        <v>1.2067884607064634E-2</v>
      </c>
      <c r="D2837">
        <f>LOG10(10.102603)</f>
        <v>1.0044332869398382</v>
      </c>
    </row>
    <row r="2838" spans="1:4">
      <c r="A2838">
        <v>1.0205420000000001</v>
      </c>
      <c r="B2838">
        <v>10.082056</v>
      </c>
      <c r="C2838">
        <f>LOG10(1.020542)</f>
        <v>8.8308826365060319E-3</v>
      </c>
      <c r="D2838">
        <f>LOG10(10.082056)</f>
        <v>1.0035491053639294</v>
      </c>
    </row>
    <row r="2839" spans="1:4">
      <c r="A2839">
        <v>1.0157400000000001</v>
      </c>
      <c r="B2839">
        <v>11.339176999999999</v>
      </c>
      <c r="C2839">
        <f>LOG10(1.01574)</f>
        <v>6.7825553733474216E-3</v>
      </c>
      <c r="D2839">
        <f>LOG10(11.339177)</f>
        <v>1.0545815345102156</v>
      </c>
    </row>
    <row r="2840" spans="1:4">
      <c r="A2840">
        <v>1.0175380000000001</v>
      </c>
      <c r="B2840">
        <v>9.6674140000000008</v>
      </c>
      <c r="C2840">
        <f>LOG10(1.017538)</f>
        <v>7.5506369460560134E-3</v>
      </c>
      <c r="D2840">
        <f>LOG10(9.667414)</f>
        <v>0.98531031733764818</v>
      </c>
    </row>
    <row r="2841" spans="1:4">
      <c r="A2841">
        <v>1.0146759999999999</v>
      </c>
      <c r="B2841">
        <v>10.069359</v>
      </c>
      <c r="C2841">
        <f>LOG10(1.014676)</f>
        <v>6.3273881849062802E-3</v>
      </c>
      <c r="D2841">
        <f>LOG10(10.069359)</f>
        <v>1.0030018249107757</v>
      </c>
    </row>
    <row r="2842" spans="1:4">
      <c r="A2842">
        <v>1.015933</v>
      </c>
      <c r="B2842">
        <v>10.475555999999999</v>
      </c>
      <c r="C2842">
        <f>LOG10(1.015933)</f>
        <v>6.865067505230269E-3</v>
      </c>
      <c r="D2842">
        <f>LOG10(10.475556)</f>
        <v>1.020177082838692</v>
      </c>
    </row>
    <row r="2843" spans="1:4">
      <c r="A2843">
        <v>1.0182610000000001</v>
      </c>
      <c r="B2843">
        <v>10.169454999999999</v>
      </c>
      <c r="C2843">
        <f>LOG10(1.018261)</f>
        <v>7.8591103499795877E-3</v>
      </c>
      <c r="D2843">
        <f>LOG10(10.169455)</f>
        <v>1.007297678897684</v>
      </c>
    </row>
    <row r="2844" spans="1:4">
      <c r="A2844">
        <v>1.0186770000000001</v>
      </c>
      <c r="B2844">
        <v>9.7355649999999994</v>
      </c>
      <c r="C2844">
        <f>LOG10(1.018677)</f>
        <v>8.0365006357747907E-3</v>
      </c>
      <c r="D2844">
        <f>LOG10(9.735565)</f>
        <v>0.9883611607109013</v>
      </c>
    </row>
    <row r="2845" spans="1:4">
      <c r="A2845">
        <v>1.014122</v>
      </c>
      <c r="B2845">
        <v>9.43337</v>
      </c>
      <c r="C2845">
        <f>LOG10(1.014122)</f>
        <v>6.0902042474669064E-3</v>
      </c>
      <c r="D2845">
        <f>LOG10(9.43337)</f>
        <v>0.97466686887177145</v>
      </c>
    </row>
    <row r="2846" spans="1:4">
      <c r="A2846">
        <v>1.012003</v>
      </c>
      <c r="B2846">
        <v>9.3507169999999995</v>
      </c>
      <c r="C2846">
        <f>LOG10(1.012003)</f>
        <v>5.1817999361069463E-3</v>
      </c>
      <c r="D2846">
        <f>LOG10(9.350717)</f>
        <v>0.97084491324736011</v>
      </c>
    </row>
    <row r="2847" spans="1:4">
      <c r="A2847">
        <v>1.012586</v>
      </c>
      <c r="B2847">
        <v>9.4359059999999992</v>
      </c>
      <c r="C2847">
        <f>LOG10(1.012586)</f>
        <v>5.4319185428443485E-3</v>
      </c>
      <c r="D2847">
        <f>LOG10(9.435906)</f>
        <v>0.97478360581628776</v>
      </c>
    </row>
    <row r="2848" spans="1:4">
      <c r="A2848">
        <v>1.012278</v>
      </c>
      <c r="B2848">
        <v>9.6918989999999994</v>
      </c>
      <c r="C2848">
        <f>LOG10(1.012278)</f>
        <v>5.2997983595057937E-3</v>
      </c>
      <c r="D2848">
        <f>LOG10(9.691899)</f>
        <v>0.98640887967396784</v>
      </c>
    </row>
    <row r="2849" spans="1:4">
      <c r="A2849">
        <v>1.012032</v>
      </c>
      <c r="B2849">
        <v>8.9449760000000005</v>
      </c>
      <c r="C2849">
        <f>LOG10(1.012032)</f>
        <v>5.1942449185070341E-3</v>
      </c>
      <c r="D2849">
        <f>LOG10(8.944976)</f>
        <v>0.95157917966230199</v>
      </c>
    </row>
    <row r="2850" spans="1:4">
      <c r="A2850">
        <v>1.015193</v>
      </c>
      <c r="B2850">
        <v>9.1456649999999993</v>
      </c>
      <c r="C2850">
        <f>LOG10(1.015193)</f>
        <v>6.5486145320243754E-3</v>
      </c>
      <c r="D2850">
        <f>LOG10(9.145665)</f>
        <v>0.96121528940023004</v>
      </c>
    </row>
    <row r="2851" spans="1:4">
      <c r="A2851">
        <v>1.0144439999999999</v>
      </c>
      <c r="B2851">
        <v>8.8117380000000001</v>
      </c>
      <c r="C2851">
        <f>LOG10(1.014444)</f>
        <v>6.2280778235273516E-3</v>
      </c>
      <c r="D2851">
        <f>LOG10(8.811738)</f>
        <v>0.94506157576358785</v>
      </c>
    </row>
    <row r="2852" spans="1:4">
      <c r="A2852">
        <v>1.013242</v>
      </c>
      <c r="B2852">
        <v>8.4454309999999992</v>
      </c>
      <c r="C2852">
        <f>LOG10(1.013242)</f>
        <v>5.7131834775638489E-3</v>
      </c>
      <c r="D2852">
        <f>LOG10(8.445431)</f>
        <v>0.92662181804502264</v>
      </c>
    </row>
    <row r="2853" spans="1:4">
      <c r="A2853">
        <v>1.4002030000000001</v>
      </c>
      <c r="B2853">
        <v>8.1415629999999997</v>
      </c>
      <c r="C2853">
        <f>LOG10(1.400203)</f>
        <v>0.14619100381303457</v>
      </c>
      <c r="D2853">
        <f>LOG10(8.141563)</f>
        <v>0.91070778782698181</v>
      </c>
    </row>
    <row r="2854" spans="1:4">
      <c r="A2854">
        <v>1.0115810000000001</v>
      </c>
      <c r="B2854">
        <v>3.9095629999999999</v>
      </c>
      <c r="C2854">
        <f>LOG10(1.011581)</f>
        <v>5.0006636215087557E-3</v>
      </c>
      <c r="D2854">
        <f>LOG10(3.909563)</f>
        <v>0.59212821588816633</v>
      </c>
    </row>
    <row r="2855" spans="1:4">
      <c r="A2855">
        <v>1.0160849999999999</v>
      </c>
      <c r="B2855">
        <v>3.6905100000000002</v>
      </c>
      <c r="C2855">
        <f>LOG10(1.016085)</f>
        <v>6.930040120012605E-3</v>
      </c>
      <c r="D2855">
        <f>LOG10(3.69051)</f>
        <v>0.56708638645200038</v>
      </c>
    </row>
    <row r="2856" spans="1:4">
      <c r="A2856">
        <v>1.0166440000000001</v>
      </c>
      <c r="B2856">
        <v>3.6153569999999999</v>
      </c>
      <c r="C2856">
        <f>LOG10(1.016644)</f>
        <v>7.1689018881123728E-3</v>
      </c>
      <c r="D2856">
        <f>LOG10(3.615357)</f>
        <v>0.55815118834559441</v>
      </c>
    </row>
    <row r="2857" spans="1:4">
      <c r="A2857">
        <v>1.011323</v>
      </c>
      <c r="B2857">
        <v>3.6818749999999998</v>
      </c>
      <c r="C2857">
        <f>LOG10(1.011323)</f>
        <v>4.8898842894805287E-3</v>
      </c>
      <c r="D2857">
        <f>LOG10(3.681875)</f>
        <v>0.56606904008006853</v>
      </c>
    </row>
    <row r="2858" spans="1:4">
      <c r="A2858">
        <v>1.0102549999999999</v>
      </c>
      <c r="B2858">
        <v>4.1807020000000001</v>
      </c>
      <c r="C2858">
        <f>LOG10(1.010255)</f>
        <v>4.43100855000948E-3</v>
      </c>
      <c r="D2858">
        <f>LOG10(4.180702)</f>
        <v>0.62124921218853701</v>
      </c>
    </row>
    <row r="2859" spans="1:4">
      <c r="A2859">
        <v>1.0128889999999999</v>
      </c>
      <c r="B2859">
        <v>3.5773869999999999</v>
      </c>
      <c r="C2859">
        <f>LOG10(1.012889)</f>
        <v>5.5618547099145583E-3</v>
      </c>
      <c r="D2859">
        <f>LOG10(3.577387)</f>
        <v>0.55356592445794262</v>
      </c>
    </row>
    <row r="2860" spans="1:4">
      <c r="A2860">
        <v>1.0116480000000001</v>
      </c>
      <c r="B2860">
        <v>3.7936930000000002</v>
      </c>
      <c r="C2860">
        <f>LOG10(1.011648)</f>
        <v>5.0294272763379139E-3</v>
      </c>
      <c r="D2860">
        <f>LOG10(3.793693)</f>
        <v>0.57906218322093095</v>
      </c>
    </row>
    <row r="2861" spans="1:4">
      <c r="A2861">
        <v>1.0178149999999999</v>
      </c>
      <c r="B2861">
        <v>3.5781109999999998</v>
      </c>
      <c r="C2861">
        <f>LOG10(1.017815)</f>
        <v>7.6688469786448136E-3</v>
      </c>
      <c r="D2861">
        <f>LOG10(3.578111)</f>
        <v>0.55365380910439799</v>
      </c>
    </row>
    <row r="2862" spans="1:4">
      <c r="A2862">
        <v>1.016202</v>
      </c>
      <c r="B2862">
        <v>3.6914570000000002</v>
      </c>
      <c r="C2862">
        <f>LOG10(1.016202)</f>
        <v>6.9800453155768934E-3</v>
      </c>
      <c r="D2862">
        <f>LOG10(3.691457)</f>
        <v>0.56719781390124757</v>
      </c>
    </row>
    <row r="2863" spans="1:4">
      <c r="A2863">
        <v>1.0141560000000001</v>
      </c>
      <c r="B2863">
        <v>3.796964</v>
      </c>
      <c r="C2863">
        <f>LOG10(1.014156)</f>
        <v>6.1047643939420269E-3</v>
      </c>
      <c r="D2863">
        <f>LOG10(3.796964)</f>
        <v>0.57943647950074895</v>
      </c>
    </row>
    <row r="2864" spans="1:4">
      <c r="A2864">
        <v>1.0173449999999999</v>
      </c>
      <c r="B2864">
        <v>3.467193</v>
      </c>
      <c r="C2864">
        <f>LOG10(1.017345)</f>
        <v>7.4682549759292668E-3</v>
      </c>
      <c r="D2864">
        <f>LOG10(3.467193)</f>
        <v>0.53997801716897009</v>
      </c>
    </row>
    <row r="2865" spans="1:4">
      <c r="A2865">
        <v>1.0168090000000001</v>
      </c>
      <c r="B2865">
        <v>3.5738750000000001</v>
      </c>
      <c r="C2865">
        <f>LOG10(1.016809)</f>
        <v>7.2393815989011583E-3</v>
      </c>
      <c r="D2865">
        <f>LOG10(3.573875)</f>
        <v>0.55313935853347673</v>
      </c>
    </row>
    <row r="2866" spans="1:4">
      <c r="A2866">
        <v>1.016024</v>
      </c>
      <c r="B2866">
        <v>3.5850520000000001</v>
      </c>
      <c r="C2866">
        <f>LOG10(1.016024)</f>
        <v>6.9039667515033397E-3</v>
      </c>
      <c r="D2866">
        <f>LOG10(3.585052)</f>
        <v>0.55449545934810807</v>
      </c>
    </row>
    <row r="2867" spans="1:4">
      <c r="A2867">
        <v>1.013112</v>
      </c>
      <c r="B2867">
        <v>3.4672480000000001</v>
      </c>
      <c r="C2867">
        <f>LOG10(1.013112)</f>
        <v>5.657459470085527E-3</v>
      </c>
      <c r="D2867">
        <f>LOG10(3.467248)</f>
        <v>0.5399849063173543</v>
      </c>
    </row>
    <row r="2868" spans="1:4">
      <c r="A2868">
        <v>1.017698</v>
      </c>
      <c r="B2868">
        <v>3.6739899999999999</v>
      </c>
      <c r="C2868">
        <f>LOG10(1.017698)</f>
        <v>7.6189210342380662E-3</v>
      </c>
      <c r="D2868">
        <f>LOG10(3.67399)</f>
        <v>0.56513796989283538</v>
      </c>
    </row>
    <row r="2869" spans="1:4">
      <c r="A2869">
        <v>1.015906</v>
      </c>
      <c r="B2869">
        <v>3.5589379999999999</v>
      </c>
      <c r="C2869">
        <f>LOG10(1.015906)</f>
        <v>6.8535253003488023E-3</v>
      </c>
      <c r="D2869">
        <f>LOG10(3.558938)</f>
        <v>0.55132042225717071</v>
      </c>
    </row>
    <row r="2870" spans="1:4">
      <c r="A2870">
        <v>1.0236829999999999</v>
      </c>
      <c r="B2870">
        <v>3.7199270000000002</v>
      </c>
      <c r="C2870">
        <f>LOG10(1.023683)</f>
        <v>1.0165491146995751E-2</v>
      </c>
      <c r="D2870">
        <f>LOG10(3.719927)</f>
        <v>0.57053441735279742</v>
      </c>
    </row>
    <row r="2871" spans="1:4">
      <c r="A2871">
        <v>1.016006</v>
      </c>
      <c r="B2871">
        <v>3.482132</v>
      </c>
      <c r="C2871">
        <f>LOG10(1.016006)</f>
        <v>6.8962726715197818E-3</v>
      </c>
      <c r="D2871">
        <f>LOG10(3.482132)</f>
        <v>0.5418452302462835</v>
      </c>
    </row>
    <row r="2872" spans="1:4">
      <c r="A2872">
        <v>1.0178720000000001</v>
      </c>
      <c r="B2872">
        <v>3.8062740000000002</v>
      </c>
      <c r="C2872">
        <f>LOG10(1.017872)</f>
        <v>7.6931677956221193E-3</v>
      </c>
      <c r="D2872">
        <f>LOG10(3.806274)</f>
        <v>0.58050004837687308</v>
      </c>
    </row>
    <row r="2873" spans="1:4">
      <c r="A2873">
        <v>1.0182929999999999</v>
      </c>
      <c r="B2873">
        <v>3.7589610000000002</v>
      </c>
      <c r="C2873">
        <f>LOG10(1.018293)</f>
        <v>7.8727583292838108E-3</v>
      </c>
      <c r="D2873">
        <f>LOG10(3.758961)</f>
        <v>0.57506781984186273</v>
      </c>
    </row>
    <row r="2874" spans="1:4">
      <c r="A2874">
        <v>1.0138990000000001</v>
      </c>
      <c r="B2874">
        <v>3.896855</v>
      </c>
      <c r="C2874">
        <f>LOG10(1.013899)</f>
        <v>5.9946947139318035E-3</v>
      </c>
      <c r="D2874">
        <f>LOG10(3.896855)</f>
        <v>0.59071424621572022</v>
      </c>
    </row>
    <row r="2875" spans="1:4">
      <c r="A2875">
        <v>1.015325</v>
      </c>
      <c r="B2875">
        <v>3.961036</v>
      </c>
      <c r="C2875">
        <f>LOG10(1.015325)</f>
        <v>6.6050798001894388E-3</v>
      </c>
      <c r="D2875">
        <f>LOG10(3.961036)</f>
        <v>0.59780878952125849</v>
      </c>
    </row>
    <row r="2876" spans="1:4">
      <c r="A2876">
        <v>1.0157989999999999</v>
      </c>
      <c r="B2876">
        <v>3.893065</v>
      </c>
      <c r="C2876">
        <f>LOG10(1.015799)</f>
        <v>6.8077809530083713E-3</v>
      </c>
      <c r="D2876">
        <f>LOG10(3.893065)</f>
        <v>0.59029165491406754</v>
      </c>
    </row>
    <row r="2877" spans="1:4">
      <c r="A2877">
        <v>1.0154540000000001</v>
      </c>
      <c r="B2877">
        <v>4.0567479999999998</v>
      </c>
      <c r="C2877">
        <f>LOG10(1.015454)</f>
        <v>6.6602546746990666E-3</v>
      </c>
      <c r="D2877">
        <f>LOG10(4.056748)</f>
        <v>0.60817803072415011</v>
      </c>
    </row>
    <row r="2878" spans="1:4">
      <c r="A2878">
        <v>1.0202789999999999</v>
      </c>
      <c r="B2878">
        <v>4.0406060000000004</v>
      </c>
      <c r="C2878">
        <f>LOG10(1.020279)</f>
        <v>8.7189478324512862E-3</v>
      </c>
      <c r="D2878">
        <f>LOG10(4.040606)</f>
        <v>0.60644650439756609</v>
      </c>
    </row>
    <row r="2879" spans="1:4">
      <c r="A2879">
        <v>1.018653</v>
      </c>
      <c r="B2879">
        <v>3.965392</v>
      </c>
      <c r="C2879">
        <f>LOG10(1.018653)</f>
        <v>8.0262685500879644E-3</v>
      </c>
      <c r="D2879">
        <f>LOG10(3.965392)</f>
        <v>0.59828612608537446</v>
      </c>
    </row>
    <row r="2880" spans="1:4">
      <c r="A2880">
        <v>1.0251619999999999</v>
      </c>
      <c r="B2880">
        <v>4.0210369999999998</v>
      </c>
      <c r="C2880">
        <f>LOG10(1.025162)</f>
        <v>1.0792499681370431E-2</v>
      </c>
      <c r="D2880">
        <f>LOG10(4.021037)</f>
        <v>0.60433806932820333</v>
      </c>
    </row>
    <row r="2881" spans="1:4">
      <c r="A2881">
        <v>1.00335</v>
      </c>
      <c r="B2881">
        <v>4.1179670000000002</v>
      </c>
      <c r="C2881">
        <f>LOG10(1.00335)</f>
        <v>1.4524550083145616E-3</v>
      </c>
      <c r="D2881">
        <f>LOG10(4.117967)</f>
        <v>0.61468286200631383</v>
      </c>
    </row>
    <row r="2882" spans="1:4">
      <c r="A2882">
        <v>1.0163960000000001</v>
      </c>
      <c r="B2882">
        <v>4.0846140000000002</v>
      </c>
      <c r="C2882">
        <f>LOG10(1.016396)</f>
        <v>7.0629472270666042E-3</v>
      </c>
      <c r="D2882">
        <f>LOG10(4.084614)</f>
        <v>0.61115102155613887</v>
      </c>
    </row>
    <row r="2883" spans="1:4">
      <c r="A2883">
        <v>1.010901</v>
      </c>
      <c r="B2883">
        <v>3.9276580000000001</v>
      </c>
      <c r="C2883">
        <f>LOG10(1.010901)</f>
        <v>4.7086261558380556E-3</v>
      </c>
      <c r="D2883">
        <f>LOG10(3.927658)</f>
        <v>0.59413366465992823</v>
      </c>
    </row>
    <row r="2884" spans="1:4">
      <c r="A2884">
        <v>1.0180610000000001</v>
      </c>
      <c r="B2884">
        <v>3.8493300000000001</v>
      </c>
      <c r="C2884">
        <f>LOG10(1.018061)</f>
        <v>7.7738007607693026E-3</v>
      </c>
      <c r="D2884">
        <f>LOG10(3.84933)</f>
        <v>0.58538514441119749</v>
      </c>
    </row>
    <row r="2885" spans="1:4">
      <c r="A2885">
        <v>1.005808</v>
      </c>
      <c r="B2885">
        <v>3.86924</v>
      </c>
      <c r="C2885">
        <f>LOG10(1.005808)</f>
        <v>2.5150855919654005E-3</v>
      </c>
      <c r="D2885">
        <f>LOG10(3.86924)</f>
        <v>0.58762566883806999</v>
      </c>
    </row>
    <row r="2886" spans="1:4">
      <c r="A2886">
        <v>1.0125999999999999</v>
      </c>
      <c r="B2886">
        <v>3.9906290000000002</v>
      </c>
      <c r="C2886">
        <f>LOG10(1.0126)</f>
        <v>5.4379230508221094E-3</v>
      </c>
      <c r="D2886">
        <f>LOG10(3.990629)</f>
        <v>0.60104135425804206</v>
      </c>
    </row>
    <row r="2887" spans="1:4">
      <c r="A2887">
        <v>1.013296</v>
      </c>
      <c r="B2887">
        <v>4.0757620000000001</v>
      </c>
      <c r="C2887">
        <f>LOG10(1.013296)</f>
        <v>5.736328271323774E-3</v>
      </c>
      <c r="D2887">
        <f>LOG10(4.075762)</f>
        <v>0.61020881588775078</v>
      </c>
    </row>
    <row r="2888" spans="1:4">
      <c r="A2888">
        <v>1.0135670000000001</v>
      </c>
      <c r="B2888">
        <v>3.9478840000000002</v>
      </c>
      <c r="C2888">
        <f>LOG10(1.013567)</f>
        <v>5.8524622234430524E-3</v>
      </c>
      <c r="D2888">
        <f>LOG10(3.947884)</f>
        <v>0.5963643833846255</v>
      </c>
    </row>
    <row r="2889" spans="1:4">
      <c r="A2889">
        <v>1.016375</v>
      </c>
      <c r="B2889">
        <v>4.1606430000000003</v>
      </c>
      <c r="C2889">
        <f>LOG10(1.016375)</f>
        <v>7.0539740725693058E-3</v>
      </c>
      <c r="D2889">
        <f>LOG10(4.160643)</f>
        <v>0.61916045316821455</v>
      </c>
    </row>
    <row r="2890" spans="1:4">
      <c r="A2890">
        <v>1.010497</v>
      </c>
      <c r="B2890">
        <v>3.9353720000000001</v>
      </c>
      <c r="C2890">
        <f>LOG10(1.010497)</f>
        <v>4.5350285040890092E-3</v>
      </c>
      <c r="D2890">
        <f>LOG10(3.935372)</f>
        <v>0.59498579131038953</v>
      </c>
    </row>
    <row r="2891" spans="1:4">
      <c r="A2891">
        <v>1.010656</v>
      </c>
      <c r="B2891">
        <v>3.850549</v>
      </c>
      <c r="C2891">
        <f>LOG10(1.010656)</f>
        <v>4.6033586332430848E-3</v>
      </c>
      <c r="D2891">
        <f>LOG10(3.850549)</f>
        <v>0.58552265435852602</v>
      </c>
    </row>
    <row r="2892" spans="1:4">
      <c r="A2892">
        <v>1.0080290000000001</v>
      </c>
      <c r="B2892">
        <v>3.6954379999999998</v>
      </c>
      <c r="C2892">
        <f>LOG10(1.008029)</f>
        <v>3.4730265130850963E-3</v>
      </c>
      <c r="D2892">
        <f>LOG10(3.695438)</f>
        <v>0.56766592032481022</v>
      </c>
    </row>
    <row r="2893" spans="1:4">
      <c r="A2893">
        <v>1.0092680000000001</v>
      </c>
      <c r="B2893">
        <v>3.7698740000000002</v>
      </c>
      <c r="C2893">
        <f>LOG10(1.009268)</f>
        <v>4.006503666661357E-3</v>
      </c>
      <c r="D2893">
        <f>LOG10(3.769874)</f>
        <v>0.57632683508134253</v>
      </c>
    </row>
    <row r="2894" spans="1:4">
      <c r="A2894">
        <v>1.0184310000000001</v>
      </c>
      <c r="B2894">
        <v>3.8067790000000001</v>
      </c>
      <c r="C2894">
        <f>LOG10(1.018431)</f>
        <v>7.9316103274872461E-3</v>
      </c>
      <c r="D2894">
        <f>LOG10(3.806779)</f>
        <v>0.58055766487151272</v>
      </c>
    </row>
    <row r="2895" spans="1:4">
      <c r="A2895">
        <v>1.0080469999999999</v>
      </c>
      <c r="B2895">
        <v>3.7049479999999999</v>
      </c>
      <c r="C2895">
        <f>LOG10(1.008047)</f>
        <v>3.4807814793407351E-3</v>
      </c>
      <c r="D2895">
        <f>LOG10(3.704948)</f>
        <v>0.56878211691142255</v>
      </c>
    </row>
    <row r="2896" spans="1:4">
      <c r="A2896">
        <v>1.008327</v>
      </c>
      <c r="B2896">
        <v>3.595059</v>
      </c>
      <c r="C2896">
        <f>LOG10(1.008327)</f>
        <v>3.6013964602069379E-3</v>
      </c>
      <c r="D2896">
        <f>LOG10(3.595059)</f>
        <v>0.55570602216373399</v>
      </c>
    </row>
    <row r="2897" spans="1:4">
      <c r="A2897">
        <v>1.01145</v>
      </c>
      <c r="B2897">
        <v>3.6761590000000002</v>
      </c>
      <c r="C2897">
        <f>LOG10(1.01145)</f>
        <v>4.9444187323213033E-3</v>
      </c>
      <c r="D2897">
        <f>LOG10(3.676159)</f>
        <v>0.5653942870800357</v>
      </c>
    </row>
    <row r="2898" spans="1:4">
      <c r="A2898">
        <v>1.0114069999999999</v>
      </c>
      <c r="B2898">
        <v>3.706207</v>
      </c>
      <c r="C2898">
        <f>LOG10(1.011407)</f>
        <v>4.9259550814308457E-3</v>
      </c>
      <c r="D2898">
        <f>LOG10(3.706207)</f>
        <v>0.56892967198427591</v>
      </c>
    </row>
    <row r="2899" spans="1:4">
      <c r="A2899">
        <v>1.006095</v>
      </c>
      <c r="B2899">
        <v>3.6848580000000002</v>
      </c>
      <c r="C2899">
        <f>LOG10(1.006095)</f>
        <v>2.638990687938382E-3</v>
      </c>
      <c r="D2899">
        <f>LOG10(3.684858)</f>
        <v>0.56642075650859225</v>
      </c>
    </row>
    <row r="2900" spans="1:4">
      <c r="A2900">
        <v>1.004637</v>
      </c>
      <c r="B2900">
        <v>3.6685439999999998</v>
      </c>
      <c r="C2900">
        <f>LOG10(1.004637)</f>
        <v>2.0091688463498517E-3</v>
      </c>
      <c r="D2900">
        <f>LOG10(3.668544)</f>
        <v>0.56449373230887323</v>
      </c>
    </row>
    <row r="2901" spans="1:4">
      <c r="A2901">
        <v>1.008812</v>
      </c>
      <c r="B2901">
        <v>3.7021310000000001</v>
      </c>
      <c r="C2901">
        <f>LOG10(1.008812)</f>
        <v>3.8102396066456161E-3</v>
      </c>
      <c r="D2901">
        <f>LOG10(3.702131)</f>
        <v>0.56845178221011727</v>
      </c>
    </row>
    <row r="2902" spans="1:4">
      <c r="A2902">
        <v>1.008732</v>
      </c>
      <c r="B2902">
        <v>3.6795599999999999</v>
      </c>
      <c r="C2902">
        <f>LOG10(1.008732)</f>
        <v>3.7757981683716512E-3</v>
      </c>
      <c r="D2902">
        <f>LOG10(3.67956)</f>
        <v>0.56579588905482714</v>
      </c>
    </row>
    <row r="2903" spans="1:4">
      <c r="A2903">
        <v>1.0095890000000001</v>
      </c>
      <c r="B2903">
        <v>3.6726139999999998</v>
      </c>
      <c r="C2903">
        <f>LOG10(1.009589)</f>
        <v>4.1446100603938097E-3</v>
      </c>
      <c r="D2903">
        <f>LOG10(3.672614)</f>
        <v>0.56497528541601127</v>
      </c>
    </row>
    <row r="2904" spans="1:4">
      <c r="A2904">
        <v>1.005018</v>
      </c>
      <c r="B2904">
        <v>3.5946380000000002</v>
      </c>
      <c r="C2904">
        <f>LOG10(1.005018)</f>
        <v>2.1738400954822061E-3</v>
      </c>
      <c r="D2904">
        <f>LOG10(3.594638)</f>
        <v>0.55565516105593205</v>
      </c>
    </row>
    <row r="2905" spans="1:4">
      <c r="A2905">
        <v>1.0076130000000001</v>
      </c>
      <c r="B2905">
        <v>3.8105509999999998</v>
      </c>
      <c r="C2905">
        <f>LOG10(1.007613)</f>
        <v>3.293762033542686E-3</v>
      </c>
      <c r="D2905">
        <f>LOG10(3.810551)</f>
        <v>0.58098777855167005</v>
      </c>
    </row>
    <row r="2906" spans="1:4">
      <c r="A2906">
        <v>1.0084500000000001</v>
      </c>
      <c r="B2906">
        <v>3.7926950000000001</v>
      </c>
      <c r="C2906">
        <f>LOG10(1.00845)</f>
        <v>3.6543703104049245E-3</v>
      </c>
      <c r="D2906">
        <f>LOG10(3.792695)</f>
        <v>0.57894791912174703</v>
      </c>
    </row>
    <row r="2907" spans="1:4">
      <c r="A2907">
        <v>1.0089239999999999</v>
      </c>
      <c r="B2907">
        <v>3.791617</v>
      </c>
      <c r="C2907">
        <f>LOG10(1.008924)</f>
        <v>3.8584530320125345E-3</v>
      </c>
      <c r="D2907">
        <f>LOG10(3.791617)</f>
        <v>0.57882446179176261</v>
      </c>
    </row>
    <row r="2908" spans="1:4">
      <c r="A2908">
        <v>1.003282</v>
      </c>
      <c r="B2908">
        <v>4.0277609999999999</v>
      </c>
      <c r="C2908">
        <f>LOG10(1.003282)</f>
        <v>1.423020588071381E-3</v>
      </c>
      <c r="D2908">
        <f>LOG10(4.027761)</f>
        <v>0.60506369240276758</v>
      </c>
    </row>
    <row r="2909" spans="1:4">
      <c r="A2909">
        <v>1.010829</v>
      </c>
      <c r="B2909">
        <v>3.8207040000000001</v>
      </c>
      <c r="C2909">
        <f>LOG10(1.010829)</f>
        <v>4.6776930414159671E-3</v>
      </c>
      <c r="D2909">
        <f>LOG10(3.820704)</f>
        <v>0.58214339305451368</v>
      </c>
    </row>
    <row r="2910" spans="1:4">
      <c r="A2910">
        <v>1.00529</v>
      </c>
      <c r="B2910">
        <v>3.7786420000000001</v>
      </c>
      <c r="C2910">
        <f>LOG10(1.00529)</f>
        <v>2.2913624848857755E-3</v>
      </c>
      <c r="D2910">
        <f>LOG10(3.778642)</f>
        <v>0.57733574749005234</v>
      </c>
    </row>
    <row r="2911" spans="1:4">
      <c r="A2911">
        <v>1.002985</v>
      </c>
      <c r="B2911">
        <v>3.901939</v>
      </c>
      <c r="C2911">
        <f>LOG10(1.002985)</f>
        <v>1.2944380394200919E-3</v>
      </c>
      <c r="D2911">
        <f>LOG10(3.901939)</f>
        <v>0.59128047567601005</v>
      </c>
    </row>
    <row r="2912" spans="1:4">
      <c r="A2912">
        <v>1.0037579999999999</v>
      </c>
      <c r="B2912">
        <v>3.6885439999999998</v>
      </c>
      <c r="C2912">
        <f>LOG10(1.003758)</f>
        <v>1.6290196486399868E-3</v>
      </c>
      <c r="D2912">
        <f>LOG10(3.688544)</f>
        <v>0.56685496844865613</v>
      </c>
    </row>
    <row r="2913" spans="1:4">
      <c r="A2913">
        <v>1.0077179999999999</v>
      </c>
      <c r="B2913">
        <v>3.731134</v>
      </c>
      <c r="C2913">
        <f>LOG10(1.007718)</f>
        <v>3.3390160594481233E-3</v>
      </c>
      <c r="D2913">
        <f>LOG10(3.731134)</f>
        <v>0.571840846579169</v>
      </c>
    </row>
    <row r="2914" spans="1:4">
      <c r="A2914">
        <v>1.005107</v>
      </c>
      <c r="B2914">
        <v>3.7212269999999998</v>
      </c>
      <c r="C2914">
        <f>LOG10(1.005107)</f>
        <v>2.2122976132133414E-3</v>
      </c>
      <c r="D2914">
        <f>LOG10(3.721227)</f>
        <v>0.57068616339439748</v>
      </c>
    </row>
    <row r="2915" spans="1:4">
      <c r="A2915">
        <v>1.0020579999999999</v>
      </c>
      <c r="B2915">
        <v>3.584063</v>
      </c>
      <c r="C2915">
        <f>LOG10(1.002058)</f>
        <v>8.9285960603051101E-4</v>
      </c>
      <c r="D2915">
        <f>LOG10(3.584063)</f>
        <v>0.55437563500568166</v>
      </c>
    </row>
    <row r="2916" spans="1:4">
      <c r="A2916">
        <v>1.0079689999999999</v>
      </c>
      <c r="B2916">
        <v>3.9082490000000001</v>
      </c>
      <c r="C2916">
        <f>LOG10(1.007969)</f>
        <v>3.447175625413617E-3</v>
      </c>
      <c r="D2916">
        <f>LOG10(3.908249)</f>
        <v>0.59198222543595425</v>
      </c>
    </row>
    <row r="2917" spans="1:4">
      <c r="A2917">
        <v>1.0096540000000001</v>
      </c>
      <c r="B2917">
        <v>3.8911500000000001</v>
      </c>
      <c r="C2917">
        <f>LOG10(1.009654)</f>
        <v>4.1725701834037241E-3</v>
      </c>
      <c r="D2917">
        <f>LOG10(3.89115)</f>
        <v>0.5900779727509663</v>
      </c>
    </row>
    <row r="2918" spans="1:4">
      <c r="A2918">
        <v>1.0065170000000001</v>
      </c>
      <c r="B2918">
        <v>4.0328879999999998</v>
      </c>
      <c r="C2918">
        <f>LOG10(1.006517)</f>
        <v>2.8211144892960963E-3</v>
      </c>
      <c r="D2918">
        <f>LOG10(4.032888)</f>
        <v>0.6056161610957943</v>
      </c>
    </row>
    <row r="2919" spans="1:4">
      <c r="A2919">
        <v>1.00404</v>
      </c>
      <c r="B2919">
        <v>4.008991</v>
      </c>
      <c r="C2919">
        <f>LOG10(1.00404)</f>
        <v>1.7510150333371432E-3</v>
      </c>
      <c r="D2919">
        <f>LOG10(4.008991)</f>
        <v>0.60303508128052297</v>
      </c>
    </row>
    <row r="2920" spans="1:4">
      <c r="A2920">
        <v>1.015023</v>
      </c>
      <c r="B2920">
        <v>4.0451639999999998</v>
      </c>
      <c r="C2920">
        <f>LOG10(1.015023)</f>
        <v>6.4758832934801933E-3</v>
      </c>
      <c r="D2920">
        <f>LOG10(4.045164)</f>
        <v>0.60693613357529141</v>
      </c>
    </row>
    <row r="2921" spans="1:4">
      <c r="A2921">
        <v>1.0057020000000001</v>
      </c>
      <c r="B2921">
        <v>4.3077940000000003</v>
      </c>
      <c r="C2921">
        <f>LOG10(1.005702)</f>
        <v>2.4693137935410023E-3</v>
      </c>
      <c r="D2921">
        <f>LOG10(4.307794)</f>
        <v>0.63425492703022635</v>
      </c>
    </row>
    <row r="2922" spans="1:4">
      <c r="A2922">
        <v>1.0072430000000001</v>
      </c>
      <c r="B2922">
        <v>4.1272229999999999</v>
      </c>
      <c r="C2922">
        <f>LOG10(1.007243)</f>
        <v>3.1342578703563791E-3</v>
      </c>
      <c r="D2922">
        <f>LOG10(4.127223)</f>
        <v>0.61565793508846645</v>
      </c>
    </row>
    <row r="2923" spans="1:4">
      <c r="A2923">
        <v>1.0070110000000001</v>
      </c>
      <c r="B2923">
        <v>4.1785620000000003</v>
      </c>
      <c r="C2923">
        <f>LOG10(1.007011)</f>
        <v>3.0342145587907961E-3</v>
      </c>
      <c r="D2923">
        <f>LOG10(4.178562)</f>
        <v>0.62102685045631356</v>
      </c>
    </row>
    <row r="2924" spans="1:4">
      <c r="A2924">
        <v>1.006013</v>
      </c>
      <c r="B2924">
        <v>4.221063</v>
      </c>
      <c r="C2924">
        <f>LOG10(1.006013)</f>
        <v>2.6035928389802295E-3</v>
      </c>
      <c r="D2924">
        <f>LOG10(4.221063)</f>
        <v>0.62542183411322805</v>
      </c>
    </row>
    <row r="2925" spans="1:4">
      <c r="A2925">
        <v>1.005924</v>
      </c>
      <c r="B2925">
        <v>4.3394849999999998</v>
      </c>
      <c r="C2925">
        <f>LOG10(1.005924)</f>
        <v>2.5651699570365069E-3</v>
      </c>
      <c r="D2925">
        <f>LOG10(4.339485)</f>
        <v>0.63743819151032677</v>
      </c>
    </row>
    <row r="2926" spans="1:4">
      <c r="A2926">
        <v>1.004553</v>
      </c>
      <c r="B2926">
        <v>4.2202890000000002</v>
      </c>
      <c r="C2926">
        <f>LOG10(1.004553)</f>
        <v>1.9728549721009093E-3</v>
      </c>
      <c r="D2926">
        <f>LOG10(4.220289)</f>
        <v>0.62534219191137808</v>
      </c>
    </row>
    <row r="2927" spans="1:4">
      <c r="A2927">
        <v>1.013137</v>
      </c>
      <c r="B2927">
        <v>4.2758240000000001</v>
      </c>
      <c r="C2927">
        <f>LOG10(1.013137)</f>
        <v>5.6681761806656253E-3</v>
      </c>
      <c r="D2927">
        <f>LOG10(4.275824)</f>
        <v>0.63101982062422735</v>
      </c>
    </row>
    <row r="2928" spans="1:4">
      <c r="A2928">
        <v>1.0038629999999999</v>
      </c>
      <c r="B2928">
        <v>4.4561359999999999</v>
      </c>
      <c r="C2928">
        <f>LOG10(1.003863)</f>
        <v>1.6744474665811512E-3</v>
      </c>
      <c r="D2928">
        <f>LOG10(4.456136)</f>
        <v>0.64895843691168253</v>
      </c>
    </row>
    <row r="2929" spans="1:4">
      <c r="A2929">
        <v>1.01004</v>
      </c>
      <c r="B2929">
        <v>4.02095</v>
      </c>
      <c r="C2929">
        <f>LOG10(1.01004)</f>
        <v>4.3385732235233709E-3</v>
      </c>
      <c r="D2929">
        <f>LOG10(4.02095)</f>
        <v>0.6043286727400401</v>
      </c>
    </row>
    <row r="2930" spans="1:4">
      <c r="A2930">
        <v>1.019712</v>
      </c>
      <c r="B2930">
        <v>4.3430559999999998</v>
      </c>
      <c r="C2930">
        <f>LOG10(1.019712)</f>
        <v>8.4775301226867744E-3</v>
      </c>
      <c r="D2930">
        <f>LOG10(4.343056)</f>
        <v>0.63779542925497368</v>
      </c>
    </row>
    <row r="2931" spans="1:4">
      <c r="A2931">
        <v>1.0194259999999999</v>
      </c>
      <c r="B2931">
        <v>4.3602100000000004</v>
      </c>
      <c r="C2931">
        <f>LOG10(1.019426)</f>
        <v>8.3557058786789731E-3</v>
      </c>
      <c r="D2931">
        <f>LOG10(4.36021)</f>
        <v>0.63950740661833272</v>
      </c>
    </row>
    <row r="2932" spans="1:4">
      <c r="A2932">
        <v>1.0184979999999999</v>
      </c>
      <c r="B2932">
        <v>4.0681010000000004</v>
      </c>
      <c r="C2932">
        <f>LOG10(1.018498)</f>
        <v>7.9601805234026969E-3</v>
      </c>
      <c r="D2932">
        <f>LOG10(4.068101)</f>
        <v>0.60939172674779607</v>
      </c>
    </row>
    <row r="2933" spans="1:4">
      <c r="A2933">
        <v>1.0132369999999999</v>
      </c>
      <c r="B2933">
        <v>4.0040279999999999</v>
      </c>
      <c r="C2933">
        <f>LOG10(1.013237)</f>
        <v>5.7110403787115687E-3</v>
      </c>
      <c r="D2933">
        <f>LOG10(4.004028)</f>
        <v>0.60249710582101113</v>
      </c>
    </row>
    <row r="2934" spans="1:4">
      <c r="A2934">
        <v>1.0124489999999999</v>
      </c>
      <c r="B2934">
        <v>3.8911159999999998</v>
      </c>
      <c r="C2934">
        <f>LOG10(1.012449)</f>
        <v>5.3731557618439786E-3</v>
      </c>
      <c r="D2934">
        <f>LOG10(3.891116)</f>
        <v>0.59007417796616068</v>
      </c>
    </row>
    <row r="2935" spans="1:4">
      <c r="A2935">
        <v>1.017741</v>
      </c>
      <c r="B2935">
        <v>4.3857010000000001</v>
      </c>
      <c r="C2935">
        <f>LOG10(1.017741)</f>
        <v>7.6372705526708213E-3</v>
      </c>
      <c r="D2935">
        <f>LOG10(4.385701)</f>
        <v>0.6420390198457312</v>
      </c>
    </row>
    <row r="2936" spans="1:4">
      <c r="A2936">
        <v>1.0143880000000001</v>
      </c>
      <c r="B2936">
        <v>4.1662270000000001</v>
      </c>
      <c r="C2936">
        <f>LOG10(1.014388)</f>
        <v>6.2041029542501645E-3</v>
      </c>
      <c r="D2936">
        <f>LOG10(4.166227)</f>
        <v>0.61974292911667395</v>
      </c>
    </row>
    <row r="2937" spans="1:4">
      <c r="A2937">
        <v>1.016864</v>
      </c>
      <c r="B2937">
        <v>4.3491340000000003</v>
      </c>
      <c r="C2937">
        <f>LOG10(1.016864)</f>
        <v>7.2628722943182348E-3</v>
      </c>
      <c r="D2937">
        <f>LOG10(4.349134)</f>
        <v>0.63840278880215906</v>
      </c>
    </row>
    <row r="2938" spans="1:4">
      <c r="A2938">
        <v>1.011255</v>
      </c>
      <c r="B2938">
        <v>4.3295880000000002</v>
      </c>
      <c r="C2938">
        <f>LOG10(1.011255)</f>
        <v>4.8606819301346546E-3</v>
      </c>
      <c r="D2938">
        <f>LOG10(4.329588)</f>
        <v>0.63644657121718595</v>
      </c>
    </row>
    <row r="2939" spans="1:4">
      <c r="A2939">
        <v>1.0209950000000001</v>
      </c>
      <c r="B2939">
        <v>4.1283430000000001</v>
      </c>
      <c r="C2939">
        <f>LOG10(1.020995)</f>
        <v>9.0236152722907425E-3</v>
      </c>
      <c r="D2939">
        <f>LOG10(4.128343)</f>
        <v>0.61577577311985421</v>
      </c>
    </row>
    <row r="2940" spans="1:4">
      <c r="A2940">
        <v>1.015987</v>
      </c>
      <c r="B2940">
        <v>3.845072</v>
      </c>
      <c r="C2940">
        <f>LOG10(1.015987)</f>
        <v>6.8881509947655815E-3</v>
      </c>
      <c r="D2940">
        <f>LOG10(3.845072)</f>
        <v>0.58490447649373933</v>
      </c>
    </row>
    <row r="2941" spans="1:4">
      <c r="A2941">
        <v>1.017468</v>
      </c>
      <c r="B2941">
        <v>3.9720939999999998</v>
      </c>
      <c r="C2941">
        <f>LOG10(1.017468)</f>
        <v>7.5207592810808497E-3</v>
      </c>
      <c r="D2941">
        <f>LOG10(3.972094)</f>
        <v>0.59901951756711158</v>
      </c>
    </row>
    <row r="2942" spans="1:4">
      <c r="A2942">
        <v>1.0172399999999999</v>
      </c>
      <c r="B2942">
        <v>3.7854610000000002</v>
      </c>
      <c r="C2942">
        <f>LOG10(1.01724)</f>
        <v>7.4234292049338707E-3</v>
      </c>
      <c r="D2942">
        <f>LOG10(3.785461)</f>
        <v>0.57811877619136687</v>
      </c>
    </row>
    <row r="2943" spans="1:4">
      <c r="A2943">
        <v>1.014392</v>
      </c>
      <c r="B2943">
        <v>3.829504</v>
      </c>
      <c r="C2943">
        <f>LOG10(1.014392)</f>
        <v>6.205815488805483E-3</v>
      </c>
      <c r="D2943">
        <f>LOG10(3.829504)</f>
        <v>0.58314252749017581</v>
      </c>
    </row>
    <row r="2944" spans="1:4">
      <c r="A2944">
        <v>1.0205660000000001</v>
      </c>
      <c r="B2944">
        <v>3.841634</v>
      </c>
      <c r="C2944">
        <f>LOG10(1.020566)</f>
        <v>8.8410957830579728E-3</v>
      </c>
      <c r="D2944">
        <f>LOG10(3.841634)</f>
        <v>0.58451598641012048</v>
      </c>
    </row>
    <row r="2945" spans="1:4">
      <c r="A2945">
        <v>1.015442</v>
      </c>
      <c r="B2945">
        <v>3.7095060000000002</v>
      </c>
      <c r="C2945">
        <f>LOG10(1.015442)</f>
        <v>6.6551224239260543E-3</v>
      </c>
      <c r="D2945">
        <f>LOG10(3.709506)</f>
        <v>0.56931607787412486</v>
      </c>
    </row>
    <row r="2946" spans="1:4">
      <c r="A2946">
        <v>1.0150969999999999</v>
      </c>
      <c r="B2946">
        <v>3.6984219999999999</v>
      </c>
      <c r="C2946">
        <f>LOG10(1.015097)</f>
        <v>6.5075442708362446E-3</v>
      </c>
      <c r="D2946">
        <f>LOG10(3.698422)</f>
        <v>0.56801646383100535</v>
      </c>
    </row>
    <row r="2947" spans="1:4">
      <c r="A2947">
        <v>1.0158160000000001</v>
      </c>
      <c r="B2947">
        <v>3.6346530000000001</v>
      </c>
      <c r="C2947">
        <f>LOG10(1.015816)</f>
        <v>6.815049068465872E-3</v>
      </c>
      <c r="D2947">
        <f>LOG10(3.634653)</f>
        <v>0.56046295511839694</v>
      </c>
    </row>
    <row r="2948" spans="1:4">
      <c r="A2948">
        <v>1.013857</v>
      </c>
      <c r="B2948">
        <v>3.5399050000000001</v>
      </c>
      <c r="C2948">
        <f>LOG10(1.013857)</f>
        <v>5.9767040205322159E-3</v>
      </c>
      <c r="D2948">
        <f>LOG10(3.539905)</f>
        <v>0.54899160707398176</v>
      </c>
    </row>
    <row r="2949" spans="1:4">
      <c r="A2949">
        <v>1.014532</v>
      </c>
      <c r="B2949">
        <v>3.528632</v>
      </c>
      <c r="C2949">
        <f>LOG10(1.014532)</f>
        <v>6.2657499442734695E-3</v>
      </c>
      <c r="D2949">
        <f>LOG10(3.528632)</f>
        <v>0.54760636827698239</v>
      </c>
    </row>
    <row r="2950" spans="1:4">
      <c r="A2950">
        <v>1.0165759999999999</v>
      </c>
      <c r="B2950">
        <v>3.4671880000000002</v>
      </c>
      <c r="C2950">
        <f>LOG10(1.016576)</f>
        <v>7.1398523757324932E-3</v>
      </c>
      <c r="D2950">
        <f>LOG10(3.467188)</f>
        <v>0.53997739087733443</v>
      </c>
    </row>
    <row r="2951" spans="1:4">
      <c r="A2951">
        <v>1.0349109999999999</v>
      </c>
      <c r="B2951">
        <v>3.5061719999999998</v>
      </c>
      <c r="C2951">
        <f>LOG10(1.034911)</f>
        <v>1.4903003057822588E-2</v>
      </c>
      <c r="D2951">
        <f>LOG10(3.506172)</f>
        <v>0.54483321718237276</v>
      </c>
    </row>
    <row r="2952" spans="1:4">
      <c r="A2952">
        <v>1.020756</v>
      </c>
      <c r="B2952">
        <v>3.480216</v>
      </c>
      <c r="C2952">
        <f>LOG10(1.020756)</f>
        <v>8.9219413838988668E-3</v>
      </c>
      <c r="D2952">
        <f>LOG10(3.480216)</f>
        <v>0.54160619931926512</v>
      </c>
    </row>
    <row r="2953" spans="1:4">
      <c r="A2953">
        <v>1.018961</v>
      </c>
      <c r="B2953">
        <v>3.5169619999999999</v>
      </c>
      <c r="C2953">
        <f>LOG10(1.018961)</f>
        <v>8.1575620153320691E-3</v>
      </c>
      <c r="D2953">
        <f>LOG10(3.516962)</f>
        <v>0.54616767588604442</v>
      </c>
    </row>
    <row r="2954" spans="1:4">
      <c r="A2954">
        <v>1.0139849999999999</v>
      </c>
      <c r="B2954">
        <v>3.5574780000000001</v>
      </c>
      <c r="C2954">
        <f>LOG10(1.013985)</f>
        <v>6.0315304752139951E-3</v>
      </c>
      <c r="D2954">
        <f>LOG10(3.557478)</f>
        <v>0.55114222301966842</v>
      </c>
    </row>
    <row r="2955" spans="1:4">
      <c r="A2955">
        <v>1.0164260000000001</v>
      </c>
      <c r="B2955">
        <v>3.5078659999999999</v>
      </c>
      <c r="C2955">
        <f>LOG10(1.016426)</f>
        <v>7.0757656976046367E-3</v>
      </c>
      <c r="D2955">
        <f>LOG10(3.507866)</f>
        <v>0.54504299502122922</v>
      </c>
    </row>
    <row r="2956" spans="1:4">
      <c r="A2956">
        <v>1.0148889999999999</v>
      </c>
      <c r="B2956">
        <v>3.4836879999999999</v>
      </c>
      <c r="C2956">
        <f>LOG10(1.014889)</f>
        <v>6.4185453786744255E-3</v>
      </c>
      <c r="D2956">
        <f>LOG10(3.483688)</f>
        <v>0.54203925255093133</v>
      </c>
    </row>
    <row r="2957" spans="1:4">
      <c r="A2957">
        <v>1.0124109999999999</v>
      </c>
      <c r="B2957">
        <v>3.6934469999999999</v>
      </c>
      <c r="C2957">
        <f>LOG10(1.012411)</f>
        <v>5.3568551876667482E-3</v>
      </c>
      <c r="D2957">
        <f>LOG10(3.693447)</f>
        <v>0.56743187138930862</v>
      </c>
    </row>
    <row r="2958" spans="1:4">
      <c r="A2958">
        <v>1.0131300000000001</v>
      </c>
      <c r="B2958">
        <v>3.7151589999999999</v>
      </c>
      <c r="C2958">
        <f>LOG10(1.01313)</f>
        <v>5.6651755283594115E-3</v>
      </c>
      <c r="D2958">
        <f>LOG10(3.715159)</f>
        <v>0.56997740526885599</v>
      </c>
    </row>
    <row r="2959" spans="1:4">
      <c r="A2959">
        <v>1.017706</v>
      </c>
      <c r="B2959">
        <v>3.5355080000000001</v>
      </c>
      <c r="C2959">
        <f>LOG10(1.017706)</f>
        <v>7.6223349568354942E-3</v>
      </c>
      <c r="D2959">
        <f>LOG10(3.535508)</f>
        <v>0.54845182428455164</v>
      </c>
    </row>
    <row r="2960" spans="1:4">
      <c r="A2960">
        <v>1.0129060000000001</v>
      </c>
      <c r="B2960">
        <v>3.663262</v>
      </c>
      <c r="C2960">
        <f>LOG10(1.012906)</f>
        <v>5.5691437062765749E-3</v>
      </c>
      <c r="D2960">
        <f>LOG10(3.663262)</f>
        <v>0.5638679809318532</v>
      </c>
    </row>
    <row r="2961" spans="1:4">
      <c r="A2961">
        <v>1.012378</v>
      </c>
      <c r="B2961">
        <v>3.6087790000000002</v>
      </c>
      <c r="C2961">
        <f>LOG10(1.012378)</f>
        <v>5.3426989295044854E-3</v>
      </c>
      <c r="D2961">
        <f>LOG10(3.608779)</f>
        <v>0.55736028687544004</v>
      </c>
    </row>
    <row r="2962" spans="1:4">
      <c r="A2962">
        <v>1.0070730000000001</v>
      </c>
      <c r="B2962">
        <v>3.3553480000000002</v>
      </c>
      <c r="C2962">
        <f>LOG10(1.007073)</f>
        <v>3.0609525278988466E-3</v>
      </c>
      <c r="D2962">
        <f>LOG10(3.355348)</f>
        <v>0.52573756970381069</v>
      </c>
    </row>
    <row r="2963" spans="1:4">
      <c r="A2963">
        <v>1.0095829999999999</v>
      </c>
      <c r="B2963">
        <v>3.469408</v>
      </c>
      <c r="C2963">
        <f>LOG10(1.009583)</f>
        <v>4.1420290352097225E-3</v>
      </c>
      <c r="D2963">
        <f>LOG10(3.469408)</f>
        <v>0.54025537557840186</v>
      </c>
    </row>
    <row r="2964" spans="1:4">
      <c r="A2964">
        <v>1.0095989999999999</v>
      </c>
      <c r="B2964">
        <v>3.4099379999999999</v>
      </c>
      <c r="C2964">
        <f>LOG10(1.009599)</f>
        <v>4.1489117349471447E-3</v>
      </c>
      <c r="D2964">
        <f>LOG10(3.409938)</f>
        <v>0.53274648265740532</v>
      </c>
    </row>
    <row r="2965" spans="1:4">
      <c r="A2965">
        <v>1.0089669999999999</v>
      </c>
      <c r="B2965">
        <v>3.7050049999999999</v>
      </c>
      <c r="C2965">
        <f>LOG10(1.008967)</f>
        <v>3.8769621216756265E-3</v>
      </c>
      <c r="D2965">
        <f>LOG10(3.705005)</f>
        <v>0.56878879840736973</v>
      </c>
    </row>
    <row r="2966" spans="1:4">
      <c r="A2966">
        <v>1.0048980000000001</v>
      </c>
      <c r="B2966">
        <v>3.6993010000000002</v>
      </c>
      <c r="C2966">
        <f>LOG10(1.004898)</f>
        <v>2.1219818706705532E-3</v>
      </c>
      <c r="D2966">
        <f>LOG10(3.699301)</f>
        <v>0.5681196698719424</v>
      </c>
    </row>
    <row r="2967" spans="1:4">
      <c r="A2967">
        <v>1.0124960000000001</v>
      </c>
      <c r="B2967">
        <v>3.8463449999999999</v>
      </c>
      <c r="C2967">
        <f>LOG10(1.012496)</f>
        <v>5.3933161520305509E-3</v>
      </c>
      <c r="D2967">
        <f>LOG10(3.846345)</f>
        <v>0.58504823592857713</v>
      </c>
    </row>
    <row r="2968" spans="1:4">
      <c r="A2968">
        <v>1.007177</v>
      </c>
      <c r="B2968">
        <v>4.0258750000000001</v>
      </c>
      <c r="C2968">
        <f>LOG10(1.007177)</f>
        <v>3.1057996185360798E-3</v>
      </c>
      <c r="D2968">
        <f>LOG10(4.025875)</f>
        <v>0.60486028628710942</v>
      </c>
    </row>
    <row r="2969" spans="1:4">
      <c r="A2969">
        <v>1.013001</v>
      </c>
      <c r="B2969">
        <v>3.9321540000000001</v>
      </c>
      <c r="C2969">
        <f>LOG10(1.013001)</f>
        <v>5.6098740811763416E-3</v>
      </c>
      <c r="D2969">
        <f>LOG10(3.932154)</f>
        <v>0.59463051832604819</v>
      </c>
    </row>
    <row r="2970" spans="1:4">
      <c r="A2970">
        <v>1.0178450000000001</v>
      </c>
      <c r="B2970">
        <v>4.3978409999999997</v>
      </c>
      <c r="C2970">
        <f>LOG10(1.017845)</f>
        <v>7.6816475784091424E-3</v>
      </c>
      <c r="D2970">
        <f>LOG10(4.397841)</f>
        <v>0.6432395237808245</v>
      </c>
    </row>
    <row r="2971" spans="1:4">
      <c r="A2971">
        <v>1.0102599999999999</v>
      </c>
      <c r="B2971">
        <v>4.3101399999999996</v>
      </c>
      <c r="C2971">
        <f>LOG10(1.01026)</f>
        <v>4.4331579746953002E-3</v>
      </c>
      <c r="D2971">
        <f>LOG10(4.31014)</f>
        <v>0.63449137694495361</v>
      </c>
    </row>
    <row r="2972" spans="1:4">
      <c r="A2972">
        <v>1.023387</v>
      </c>
      <c r="B2972">
        <v>4.209365</v>
      </c>
      <c r="C2972">
        <f>LOG10(1.023387)</f>
        <v>1.003989586443167E-2</v>
      </c>
      <c r="D2972">
        <f>LOG10(4.209365)</f>
        <v>0.62421658567034555</v>
      </c>
    </row>
    <row r="2973" spans="1:4">
      <c r="A2973">
        <v>1.0329360000000001</v>
      </c>
      <c r="B2973">
        <v>4.4099360000000001</v>
      </c>
      <c r="C2973">
        <f>LOG10(1.032936)</f>
        <v>1.4073413767540489E-2</v>
      </c>
      <c r="D2973">
        <f>LOG10(4.409936)</f>
        <v>0.6444322867357456</v>
      </c>
    </row>
    <row r="2974" spans="1:4">
      <c r="A2974">
        <v>1.016024</v>
      </c>
      <c r="B2974">
        <v>4.3930189999999998</v>
      </c>
      <c r="C2974">
        <f>LOG10(1.016024)</f>
        <v>6.9039667515033397E-3</v>
      </c>
      <c r="D2974">
        <f>LOG10(4.393019)</f>
        <v>0.64276308161207929</v>
      </c>
    </row>
    <row r="2975" spans="1:4">
      <c r="A2975">
        <v>1.008961</v>
      </c>
      <c r="B2975">
        <v>4.5549660000000003</v>
      </c>
      <c r="C2975">
        <f>LOG10(1.008961)</f>
        <v>3.874379505356902E-3</v>
      </c>
      <c r="D2975">
        <f>LOG10(4.554966)</f>
        <v>0.65848513958179555</v>
      </c>
    </row>
    <row r="2976" spans="1:4">
      <c r="A2976">
        <v>1.0093650000000001</v>
      </c>
      <c r="B2976">
        <v>4.3156160000000003</v>
      </c>
      <c r="C2976">
        <f>LOG10(1.009365)</f>
        <v>4.0482413820133257E-3</v>
      </c>
      <c r="D2976">
        <f>LOG10(4.315616)</f>
        <v>0.63504279456038204</v>
      </c>
    </row>
    <row r="2977" spans="1:4">
      <c r="A2977">
        <v>1.0117</v>
      </c>
      <c r="B2977">
        <v>4.522043</v>
      </c>
      <c r="C2977">
        <f>LOG10(1.0117)</f>
        <v>5.0517499939958894E-3</v>
      </c>
      <c r="D2977">
        <f>LOG10(4.522043)</f>
        <v>0.65533468772493864</v>
      </c>
    </row>
    <row r="2978" spans="1:4">
      <c r="A2978">
        <v>1.00834</v>
      </c>
      <c r="B2978">
        <v>4.8090729999999997</v>
      </c>
      <c r="C2978">
        <f>LOG10(1.00834)</f>
        <v>3.6069956278085677E-3</v>
      </c>
      <c r="D2978">
        <f>LOG10(4.809073)</f>
        <v>0.68206136955801477</v>
      </c>
    </row>
    <row r="2979" spans="1:4">
      <c r="A2979">
        <v>1.003387</v>
      </c>
      <c r="B2979">
        <v>4.3893810000000002</v>
      </c>
      <c r="C2979">
        <f>LOG10(1.003387)</f>
        <v>1.4684699577895246E-3</v>
      </c>
      <c r="D2979">
        <f>LOG10(4.389381)</f>
        <v>0.64240327941324205</v>
      </c>
    </row>
    <row r="2980" spans="1:4">
      <c r="A2980">
        <v>1.003576</v>
      </c>
      <c r="B2980">
        <v>4.4627460000000001</v>
      </c>
      <c r="C2980">
        <f>LOG10(1.003576)</f>
        <v>1.5502668392690102E-3</v>
      </c>
      <c r="D2980">
        <f>LOG10(4.462746)</f>
        <v>0.64960216939989579</v>
      </c>
    </row>
    <row r="2981" spans="1:4">
      <c r="A2981">
        <v>1.0077510000000001</v>
      </c>
      <c r="B2981">
        <v>4.1054259999999996</v>
      </c>
      <c r="C2981">
        <f>LOG10(1.007751)</f>
        <v>3.3532377794588627E-3</v>
      </c>
      <c r="D2981">
        <f>LOG10(4.105426)</f>
        <v>0.61335822841044019</v>
      </c>
    </row>
    <row r="2982" spans="1:4">
      <c r="A2982">
        <v>1.0039419999999999</v>
      </c>
      <c r="B2982">
        <v>4.2114450000000003</v>
      </c>
      <c r="C2982">
        <f>LOG10(1.003942)</f>
        <v>1.708623359248055E-3</v>
      </c>
      <c r="D2982">
        <f>LOG10(4.211445)</f>
        <v>0.62443113333042344</v>
      </c>
    </row>
    <row r="2983" spans="1:4">
      <c r="A2983">
        <v>1.002057</v>
      </c>
      <c r="B2983">
        <v>4.2216339999999999</v>
      </c>
      <c r="C2983">
        <f>LOG10(1.002057)</f>
        <v>8.9242620327481331E-4</v>
      </c>
      <c r="D2983">
        <f>LOG10(4.221634)</f>
        <v>0.62548057888389663</v>
      </c>
    </row>
    <row r="2984" spans="1:4">
      <c r="A2984">
        <v>1.0025329999999999</v>
      </c>
      <c r="B2984">
        <v>4.3015340000000002</v>
      </c>
      <c r="C2984">
        <f>LOG10(1.002533)</f>
        <v>1.0986770348875494E-3</v>
      </c>
      <c r="D2984">
        <f>LOG10(4.301534)</f>
        <v>0.63362335998205765</v>
      </c>
    </row>
    <row r="2985" spans="1:4">
      <c r="A2985">
        <v>1.004737</v>
      </c>
      <c r="B2985">
        <v>4.2122700000000002</v>
      </c>
      <c r="C2985">
        <f>LOG10(1.004737)</f>
        <v>2.0523956903581598E-3</v>
      </c>
      <c r="D2985">
        <f>LOG10(4.21227)</f>
        <v>0.62451620101106453</v>
      </c>
    </row>
    <row r="2986" spans="1:4">
      <c r="A2986">
        <v>1.00728</v>
      </c>
      <c r="B2986">
        <v>4.1340250000000003</v>
      </c>
      <c r="C2986">
        <f>LOG10(1.00728)</f>
        <v>3.1502109230960688E-3</v>
      </c>
      <c r="D2986">
        <f>LOG10(4.134025)</f>
        <v>0.61637309864086265</v>
      </c>
    </row>
    <row r="2987" spans="1:4">
      <c r="A2987">
        <v>1.0056890000000001</v>
      </c>
      <c r="B2987">
        <v>3.7698040000000002</v>
      </c>
      <c r="C2987">
        <f>LOG10(1.005689)</f>
        <v>2.4636999389847885E-3</v>
      </c>
      <c r="D2987">
        <f>LOG10(3.769804)</f>
        <v>0.576318770913686</v>
      </c>
    </row>
    <row r="2988" spans="1:4">
      <c r="A2988">
        <v>1.0025820000000001</v>
      </c>
      <c r="B2988">
        <v>3.8813620000000002</v>
      </c>
      <c r="C2988">
        <f>LOG10(1.002582)</f>
        <v>1.1199031786424732E-3</v>
      </c>
      <c r="D2988">
        <f>LOG10(3.881362)</f>
        <v>0.58898414963793155</v>
      </c>
    </row>
    <row r="2989" spans="1:4">
      <c r="A2989">
        <v>1.0046109999999999</v>
      </c>
      <c r="B2989">
        <v>3.8873929999999999</v>
      </c>
      <c r="C2989">
        <f>LOG10(1.004611)</f>
        <v>1.9979291621195824E-3</v>
      </c>
      <c r="D2989">
        <f>LOG10(3.887393)</f>
        <v>0.58965844829879321</v>
      </c>
    </row>
    <row r="2990" spans="1:4">
      <c r="A2990">
        <v>1.0081720000000001</v>
      </c>
      <c r="B2990">
        <v>4.1302139999999996</v>
      </c>
      <c r="C2990">
        <f>LOG10(1.008172)</f>
        <v>3.5346315921583665E-3</v>
      </c>
      <c r="D2990">
        <f>LOG10(4.130214)</f>
        <v>0.61597255446786525</v>
      </c>
    </row>
    <row r="2991" spans="1:4">
      <c r="A2991">
        <v>1.0038339999999999</v>
      </c>
      <c r="B2991">
        <v>3.6528170000000002</v>
      </c>
      <c r="C2991">
        <f>LOG10(1.003834)</f>
        <v>1.6619012108701602E-3</v>
      </c>
      <c r="D2991">
        <f>LOG10(3.652817)</f>
        <v>0.56262791533237677</v>
      </c>
    </row>
    <row r="2992" spans="1:4">
      <c r="A2992">
        <v>1.002319</v>
      </c>
      <c r="B2992">
        <v>3.8078050000000001</v>
      </c>
      <c r="C2992">
        <f>LOG10(1.002319)</f>
        <v>1.0059629398019871E-3</v>
      </c>
      <c r="D2992">
        <f>LOG10(3.807805)</f>
        <v>0.58067469979847108</v>
      </c>
    </row>
    <row r="2993" spans="1:4">
      <c r="A2993">
        <v>1.0072890000000001</v>
      </c>
      <c r="B2993">
        <v>3.840249</v>
      </c>
      <c r="C2993">
        <f>LOG10(1.007289)</f>
        <v>3.1540913067783544E-3</v>
      </c>
      <c r="D2993">
        <f>LOG10(3.840249)</f>
        <v>0.58435938473733962</v>
      </c>
    </row>
    <row r="2994" spans="1:4">
      <c r="A2994">
        <v>1.002332</v>
      </c>
      <c r="B2994">
        <v>3.762168</v>
      </c>
      <c r="C2994">
        <f>LOG10(1.002332)</f>
        <v>1.0115956691547166E-3</v>
      </c>
      <c r="D2994">
        <f>LOG10(3.762168)</f>
        <v>0.57543818511225597</v>
      </c>
    </row>
    <row r="2995" spans="1:4">
      <c r="A2995">
        <v>1.002991</v>
      </c>
      <c r="B2995">
        <v>3.5724749999999998</v>
      </c>
      <c r="C2995">
        <f>LOG10(1.002991)</f>
        <v>1.2970360434753805E-3</v>
      </c>
      <c r="D2995">
        <f>LOG10(3.572475)</f>
        <v>0.55296919830274549</v>
      </c>
    </row>
    <row r="2996" spans="1:4">
      <c r="A2996">
        <v>1.0054860000000001</v>
      </c>
      <c r="B2996">
        <v>3.3213020000000002</v>
      </c>
      <c r="C2996">
        <f>LOG10(1.005486)</f>
        <v>2.3760280256746695E-3</v>
      </c>
      <c r="D2996">
        <f>LOG10(3.321302)</f>
        <v>0.52130836700772654</v>
      </c>
    </row>
    <row r="2997" spans="1:4">
      <c r="A2997">
        <v>1.0046390000000001</v>
      </c>
      <c r="B2997">
        <v>2.3515899999999998</v>
      </c>
      <c r="C2997">
        <f>LOG10(1.004639)</f>
        <v>2.0100334253960674E-3</v>
      </c>
      <c r="D2997">
        <f>LOG10(2.35159)</f>
        <v>0.3713616047088909</v>
      </c>
    </row>
    <row r="2998" spans="1:4">
      <c r="A2998">
        <v>1.0047649999999999</v>
      </c>
      <c r="B2998">
        <v>3.6529150000000001</v>
      </c>
      <c r="C2998">
        <f>LOG10(1.004765)</f>
        <v>2.0644984357090397E-3</v>
      </c>
      <c r="D2998">
        <f>LOG10(3.652915)</f>
        <v>0.56263956669304238</v>
      </c>
    </row>
    <row r="2999" spans="1:4">
      <c r="A2999">
        <v>1.0035829999999999</v>
      </c>
      <c r="B2999">
        <v>3.6839050000000002</v>
      </c>
      <c r="C2999">
        <f>LOG10(1.003583)</f>
        <v>1.5532960575554318E-3</v>
      </c>
      <c r="D2999">
        <f>LOG10(3.683905)</f>
        <v>0.56630842214702803</v>
      </c>
    </row>
    <row r="3000" spans="1:4">
      <c r="A3000">
        <v>1.005854</v>
      </c>
      <c r="B3000">
        <v>3.7545299999999999</v>
      </c>
      <c r="C3000">
        <f>LOG10(1.005854)</f>
        <v>2.5349473243747494E-3</v>
      </c>
      <c r="D3000">
        <f>LOG10(3.75453)</f>
        <v>0.57455557884166575</v>
      </c>
    </row>
    <row r="3001" spans="1:4">
      <c r="A3001">
        <v>1.004192</v>
      </c>
      <c r="B3001">
        <v>3.6249609999999999</v>
      </c>
      <c r="C3001">
        <f>LOG10(1.004192)</f>
        <v>1.8167571999546661E-3</v>
      </c>
      <c r="D3001">
        <f>LOG10(3.624961)</f>
        <v>0.55930333847227953</v>
      </c>
    </row>
    <row r="3002" spans="1:4">
      <c r="A3002">
        <v>1.0073179999999999</v>
      </c>
      <c r="B3002">
        <v>3.6087980000000002</v>
      </c>
      <c r="C3002">
        <f>LOG10(1.007318)</f>
        <v>3.1665945294674373E-3</v>
      </c>
      <c r="D3002">
        <f>LOG10(3.608798)</f>
        <v>0.55736257340321971</v>
      </c>
    </row>
    <row r="3003" spans="1:4">
      <c r="A3003">
        <v>1.006777</v>
      </c>
      <c r="B3003">
        <v>3.7650980000000001</v>
      </c>
      <c r="C3003">
        <f>LOG10(1.006777)</f>
        <v>2.9332854548108573E-3</v>
      </c>
      <c r="D3003">
        <f>LOG10(3.765098)</f>
        <v>0.57577628473468045</v>
      </c>
    </row>
    <row r="3004" spans="1:4">
      <c r="A3004">
        <v>1.038862</v>
      </c>
      <c r="B3004">
        <v>3.657381</v>
      </c>
      <c r="C3004">
        <f>LOG10(1.038862)</f>
        <v>1.6557860724663233E-2</v>
      </c>
      <c r="D3004">
        <f>LOG10(3.657381)</f>
        <v>0.56317020441208288</v>
      </c>
    </row>
    <row r="3005" spans="1:4">
      <c r="A3005">
        <v>1.0225109999999999</v>
      </c>
      <c r="B3005">
        <v>3.7975300000000001</v>
      </c>
      <c r="C3005">
        <f>LOG10(1.022511)</f>
        <v>9.6679887709241134E-3</v>
      </c>
      <c r="D3005">
        <f>LOG10(3.79753)</f>
        <v>0.57950121341908833</v>
      </c>
    </row>
    <row r="3006" spans="1:4">
      <c r="A3006">
        <v>1.013725</v>
      </c>
      <c r="B3006">
        <v>3.7764600000000002</v>
      </c>
      <c r="C3006">
        <f>LOG10(1.013725)</f>
        <v>5.9201569889525043E-3</v>
      </c>
      <c r="D3006">
        <f>LOG10(3.77646)</f>
        <v>0.57708488904079225</v>
      </c>
    </row>
    <row r="3007" spans="1:4">
      <c r="A3007">
        <v>1.003749</v>
      </c>
      <c r="B3007">
        <v>3.8071030000000001</v>
      </c>
      <c r="C3007">
        <f>LOG10(1.003749)</f>
        <v>1.6251256145597838E-3</v>
      </c>
      <c r="D3007">
        <f>LOG10(3.807103)</f>
        <v>0.5805946266768629</v>
      </c>
    </row>
    <row r="3008" spans="1:4">
      <c r="A3008">
        <v>1.004996</v>
      </c>
      <c r="B3008">
        <v>3.7317969999999998</v>
      </c>
      <c r="C3008">
        <f>LOG10(1.004996)</f>
        <v>2.1643332178164399E-3</v>
      </c>
      <c r="D3008">
        <f>LOG10(3.731797)</f>
        <v>0.57191801123264341</v>
      </c>
    </row>
    <row r="3009" spans="1:4">
      <c r="A3009">
        <v>1.006359</v>
      </c>
      <c r="B3009">
        <v>3.6156969999999999</v>
      </c>
      <c r="C3009">
        <f>LOG10(1.006359)</f>
        <v>2.7529349012025551E-3</v>
      </c>
      <c r="D3009">
        <f>LOG10(3.615697)</f>
        <v>0.55819202889911701</v>
      </c>
    </row>
    <row r="3010" spans="1:4">
      <c r="A3010">
        <v>1.0073989999999999</v>
      </c>
      <c r="B3010">
        <v>3.540295</v>
      </c>
      <c r="C3010">
        <f>LOG10(1.007399)</f>
        <v>3.2015154171684056E-3</v>
      </c>
      <c r="D3010">
        <f>LOG10(3.540295)</f>
        <v>0.5490394517247299</v>
      </c>
    </row>
    <row r="3011" spans="1:4">
      <c r="A3011">
        <v>1.0069129999999999</v>
      </c>
      <c r="B3011">
        <v>3.6889759999999998</v>
      </c>
      <c r="C3011">
        <f>LOG10(1.006913)</f>
        <v>2.991947959594224E-3</v>
      </c>
      <c r="D3011">
        <f>LOG10(3.688976)</f>
        <v>0.56690582977235204</v>
      </c>
    </row>
    <row r="3012" spans="1:4">
      <c r="A3012">
        <v>1.007363</v>
      </c>
      <c r="B3012">
        <v>3.7133090000000002</v>
      </c>
      <c r="C3012">
        <f>LOG10(1.007363)</f>
        <v>3.1859953692916355E-3</v>
      </c>
      <c r="D3012">
        <f>LOG10(3.713309)</f>
        <v>0.56976109019335686</v>
      </c>
    </row>
    <row r="3013" spans="1:4">
      <c r="A3013">
        <v>1.005962</v>
      </c>
      <c r="B3013">
        <v>3.773533</v>
      </c>
      <c r="C3013">
        <f>LOG10(1.005962)</f>
        <v>2.581575648327443E-3</v>
      </c>
      <c r="D3013">
        <f>LOG10(3.773533)</f>
        <v>0.57674815230150889</v>
      </c>
    </row>
    <row r="3014" spans="1:4">
      <c r="A3014">
        <v>1.0044299999999999</v>
      </c>
      <c r="B3014">
        <v>3.7383220000000001</v>
      </c>
      <c r="C3014">
        <f>LOG10(1.00443)</f>
        <v>1.919675605883388E-3</v>
      </c>
      <c r="D3014">
        <f>LOG10(3.738322)</f>
        <v>0.57267670656670999</v>
      </c>
    </row>
    <row r="3015" spans="1:4">
      <c r="A3015">
        <v>1.00288</v>
      </c>
      <c r="B3015">
        <v>3.7395809999999998</v>
      </c>
      <c r="C3015">
        <f>LOG10(1.00288)</f>
        <v>1.2489704524772996E-3</v>
      </c>
      <c r="D3015">
        <f>LOG10(3.739581)</f>
        <v>0.57282294455826521</v>
      </c>
    </row>
    <row r="3016" spans="1:4">
      <c r="A3016">
        <v>1.010559</v>
      </c>
      <c r="B3016">
        <v>3.8015349999999999</v>
      </c>
      <c r="C3016">
        <f>LOG10(1.010559)</f>
        <v>4.5616742357129239E-3</v>
      </c>
      <c r="D3016">
        <f>LOG10(3.801535)</f>
        <v>0.57995899330676359</v>
      </c>
    </row>
    <row r="3017" spans="1:4">
      <c r="A3017">
        <v>1.0091159999999999</v>
      </c>
      <c r="B3017">
        <v>3.9231410000000002</v>
      </c>
      <c r="C3017">
        <f>LOG10(1.009116)</f>
        <v>3.9410921677848773E-3</v>
      </c>
      <c r="D3017">
        <f>LOG10(3.923141)</f>
        <v>0.59363391720970793</v>
      </c>
    </row>
    <row r="3018" spans="1:4">
      <c r="A3018">
        <v>1.0069809999999999</v>
      </c>
      <c r="B3018">
        <v>3.9584959999999998</v>
      </c>
      <c r="C3018">
        <f>LOG10(1.006981)</f>
        <v>3.0212762408052761E-3</v>
      </c>
      <c r="D3018">
        <f>LOG10(3.958496)</f>
        <v>0.59753021042798415</v>
      </c>
    </row>
    <row r="3019" spans="1:4">
      <c r="A3019">
        <v>1.0118180000000001</v>
      </c>
      <c r="B3019">
        <v>3.9726539999999999</v>
      </c>
      <c r="C3019">
        <f>LOG10(1.011818)</f>
        <v>5.1024011361381393E-3</v>
      </c>
      <c r="D3019">
        <f>LOG10(3.972654)</f>
        <v>0.59908074163872937</v>
      </c>
    </row>
    <row r="3020" spans="1:4">
      <c r="A3020">
        <v>1.004928</v>
      </c>
      <c r="B3020">
        <v>3.9479950000000001</v>
      </c>
      <c r="C3020">
        <f>LOG10(1.004928)</f>
        <v>2.1349470074117976E-3</v>
      </c>
      <c r="D3020">
        <f>LOG10(3.947995)</f>
        <v>0.59637659397891007</v>
      </c>
    </row>
    <row r="3021" spans="1:4">
      <c r="A3021">
        <v>1.011196</v>
      </c>
      <c r="B3021">
        <v>3.8905859999999999</v>
      </c>
      <c r="C3021">
        <f>LOG10(1.011196)</f>
        <v>4.8353429978791147E-3</v>
      </c>
      <c r="D3021">
        <f>LOG10(3.890586)</f>
        <v>0.59001501968028325</v>
      </c>
    </row>
    <row r="3022" spans="1:4">
      <c r="A3022">
        <v>1.0104439999999999</v>
      </c>
      <c r="B3022">
        <v>4.1225969999999998</v>
      </c>
      <c r="C3022">
        <f>LOG10(1.010444)</f>
        <v>4.512249405098802E-3</v>
      </c>
      <c r="D3022">
        <f>LOG10(4.122597)</f>
        <v>0.61517088289003019</v>
      </c>
    </row>
    <row r="3023" spans="1:4">
      <c r="A3023">
        <v>1.0068280000000001</v>
      </c>
      <c r="B3023">
        <v>3.8371840000000002</v>
      </c>
      <c r="C3023">
        <f>LOG10(1.006828)</f>
        <v>2.9552848226926534E-3</v>
      </c>
      <c r="D3023">
        <f>LOG10(3.837184)</f>
        <v>0.58401262491338535</v>
      </c>
    </row>
    <row r="3024" spans="1:4">
      <c r="A3024">
        <v>1.0095829999999999</v>
      </c>
      <c r="B3024">
        <v>4.0839860000000003</v>
      </c>
      <c r="C3024">
        <f>LOG10(1.009583)</f>
        <v>4.1420290352097225E-3</v>
      </c>
      <c r="D3024">
        <f>LOG10(4.083986)</f>
        <v>0.61108424464573263</v>
      </c>
    </row>
    <row r="3025" spans="1:4">
      <c r="A3025">
        <v>1.0018130000000001</v>
      </c>
      <c r="B3025">
        <v>3.3015409999999998</v>
      </c>
      <c r="C3025">
        <f>LOG10(1.001813)</f>
        <v>7.8666300096321838E-4</v>
      </c>
      <c r="D3025">
        <f>LOG10(3.301541)</f>
        <v>0.51871669490395445</v>
      </c>
    </row>
    <row r="3026" spans="1:4">
      <c r="A3026">
        <v>1.0074970000000001</v>
      </c>
      <c r="B3026">
        <v>4.9457579999999997</v>
      </c>
      <c r="C3026">
        <f>LOG10(1.007497)</f>
        <v>3.2437616266602566E-3</v>
      </c>
      <c r="D3026">
        <f>LOG10(4.945758)</f>
        <v>0.6942328621595536</v>
      </c>
    </row>
    <row r="3027" spans="1:4">
      <c r="A3027">
        <v>1.0075989999999999</v>
      </c>
      <c r="B3027">
        <v>4.8120609999999999</v>
      </c>
      <c r="C3027">
        <f>LOG10(1.007599)</f>
        <v>3.2877278071220201E-3</v>
      </c>
      <c r="D3027">
        <f>LOG10(4.812061)</f>
        <v>0.68233112402846441</v>
      </c>
    </row>
    <row r="3028" spans="1:4">
      <c r="A3028">
        <v>1.0166249999999999</v>
      </c>
      <c r="B3028">
        <v>4.2933570000000003</v>
      </c>
      <c r="C3028">
        <f>LOG10(1.016625)</f>
        <v>7.1607853082043581E-3</v>
      </c>
      <c r="D3028">
        <f>LOG10(4.293357)</f>
        <v>0.63279700231214553</v>
      </c>
    </row>
    <row r="3029" spans="1:4">
      <c r="A3029">
        <v>1.007358</v>
      </c>
      <c r="B3029">
        <v>4.3186600000000004</v>
      </c>
      <c r="C3029">
        <f>LOG10(1.007358)</f>
        <v>3.1838397632205865E-3</v>
      </c>
      <c r="D3029">
        <f>LOG10(4.31866)</f>
        <v>0.63534901420350764</v>
      </c>
    </row>
    <row r="3030" spans="1:4">
      <c r="A3030">
        <v>1.011193</v>
      </c>
      <c r="B3030">
        <v>4.2332660000000004</v>
      </c>
      <c r="C3030">
        <f>LOG10(1.011193)</f>
        <v>4.8340545380964519E-3</v>
      </c>
      <c r="D3030">
        <f>LOG10(4.233266)</f>
        <v>0.6266755585053474</v>
      </c>
    </row>
    <row r="3031" spans="1:4">
      <c r="A3031">
        <v>1.0166630000000001</v>
      </c>
      <c r="B3031">
        <v>4.4105499999999997</v>
      </c>
      <c r="C3031">
        <f>LOG10(1.016663)</f>
        <v>7.1770183163314249E-3</v>
      </c>
      <c r="D3031">
        <f>LOG10(4.41055)</f>
        <v>0.64449274980145865</v>
      </c>
    </row>
    <row r="3032" spans="1:4">
      <c r="A3032">
        <v>1.0100709999999999</v>
      </c>
      <c r="B3032">
        <v>4.3251530000000002</v>
      </c>
      <c r="C3032">
        <f>LOG10(1.010071)</f>
        <v>4.3519023217165002E-3</v>
      </c>
      <c r="D3032">
        <f>LOG10(4.325153)</f>
        <v>0.63600147501018622</v>
      </c>
    </row>
    <row r="3033" spans="1:4">
      <c r="A3033">
        <v>1.0107459999999999</v>
      </c>
      <c r="B3033">
        <v>4.2745480000000002</v>
      </c>
      <c r="C3033">
        <f>LOG10(1.010746)</f>
        <v>4.6420313004286199E-3</v>
      </c>
      <c r="D3033">
        <f>LOG10(4.274548)</f>
        <v>0.63089019824919557</v>
      </c>
    </row>
    <row r="3034" spans="1:4">
      <c r="A3034">
        <v>1.0112289999999999</v>
      </c>
      <c r="B3034">
        <v>4.4446940000000001</v>
      </c>
      <c r="C3034">
        <f>LOG10(1.011229)</f>
        <v>4.8495158032034729E-3</v>
      </c>
      <c r="D3034">
        <f>LOG10(4.444694)</f>
        <v>0.64784186683919531</v>
      </c>
    </row>
    <row r="3035" spans="1:4">
      <c r="A3035">
        <v>1.011603</v>
      </c>
      <c r="B3035">
        <v>4.0655590000000004</v>
      </c>
      <c r="C3035">
        <f>LOG10(1.011603)</f>
        <v>5.0101086137608036E-3</v>
      </c>
      <c r="D3035">
        <f>LOG10(4.065559)</f>
        <v>0.60912026799271135</v>
      </c>
    </row>
    <row r="3036" spans="1:4">
      <c r="A3036">
        <v>1.0128950000000001</v>
      </c>
      <c r="B3036">
        <v>3.8509159999999998</v>
      </c>
      <c r="C3036">
        <f>LOG10(1.012895)</f>
        <v>5.5644273108349943E-3</v>
      </c>
      <c r="D3036">
        <f>LOG10(3.850916)</f>
        <v>0.58556404546397911</v>
      </c>
    </row>
    <row r="3037" spans="1:4">
      <c r="A3037">
        <v>1.01057</v>
      </c>
      <c r="B3037">
        <v>4.0544310000000001</v>
      </c>
      <c r="C3037">
        <f>LOG10(1.01057)</f>
        <v>4.5664015334766746E-3</v>
      </c>
      <c r="D3037">
        <f>LOG10(4.054431)</f>
        <v>0.60792991381243122</v>
      </c>
    </row>
    <row r="3038" spans="1:4">
      <c r="A3038">
        <v>1.00753</v>
      </c>
      <c r="B3038">
        <v>3.8743280000000002</v>
      </c>
      <c r="C3038">
        <f>LOG10(1.00753)</f>
        <v>3.2579864662321996E-3</v>
      </c>
      <c r="D3038">
        <f>LOG10(3.874328)</f>
        <v>0.588196385242167</v>
      </c>
    </row>
    <row r="3039" spans="1:4">
      <c r="A3039">
        <v>1.014705</v>
      </c>
      <c r="B3039">
        <v>4.148466</v>
      </c>
      <c r="C3039">
        <f>LOG10(1.014705)</f>
        <v>6.3398003834792211E-3</v>
      </c>
      <c r="D3039">
        <f>LOG10(4.148466)</f>
        <v>0.61788753505097893</v>
      </c>
    </row>
    <row r="3040" spans="1:4">
      <c r="A3040">
        <v>1.008553</v>
      </c>
      <c r="B3040">
        <v>3.6538750000000002</v>
      </c>
      <c r="C3040">
        <f>LOG10(1.008553)</f>
        <v>3.698725555959743E-3</v>
      </c>
      <c r="D3040">
        <f>LOG10(3.653875)</f>
        <v>0.56275368594514241</v>
      </c>
    </row>
    <row r="3041" spans="1:4">
      <c r="A3041">
        <v>1.011738</v>
      </c>
      <c r="B3041">
        <v>3.7631320000000001</v>
      </c>
      <c r="C3041">
        <f>LOG10(1.011738)</f>
        <v>5.0680620236348076E-3</v>
      </c>
      <c r="D3041">
        <f>LOG10(3.763132)</f>
        <v>0.57554945240601041</v>
      </c>
    </row>
    <row r="3042" spans="1:4">
      <c r="A3042">
        <v>1.011042</v>
      </c>
      <c r="B3042">
        <v>3.7351040000000002</v>
      </c>
      <c r="C3042">
        <f>LOG10(1.011042)</f>
        <v>4.7691971235137992E-3</v>
      </c>
      <c r="D3042">
        <f>LOG10(3.735104)</f>
        <v>0.57230269878791129</v>
      </c>
    </row>
    <row r="3043" spans="1:4">
      <c r="A3043">
        <v>1.0091349999999999</v>
      </c>
      <c r="B3043">
        <v>3.618805</v>
      </c>
      <c r="C3043">
        <f>LOG10(1.009135)</f>
        <v>3.9492691439453271E-3</v>
      </c>
      <c r="D3043">
        <f>LOG10(3.618805)</f>
        <v>0.55856518169741487</v>
      </c>
    </row>
    <row r="3044" spans="1:4">
      <c r="A3044">
        <v>1.0142580000000001</v>
      </c>
      <c r="B3044">
        <v>3.471149</v>
      </c>
      <c r="C3044">
        <f>LOG10(1.014258)</f>
        <v>6.1484419047376435E-3</v>
      </c>
      <c r="D3044">
        <f>LOG10(3.471149)</f>
        <v>0.54047325627842413</v>
      </c>
    </row>
    <row r="3045" spans="1:4">
      <c r="A3045">
        <v>1.016384</v>
      </c>
      <c r="B3045">
        <v>2.2073550000000002</v>
      </c>
      <c r="C3045">
        <f>LOG10(1.016384)</f>
        <v>7.057819732912831E-3</v>
      </c>
      <c r="D3045">
        <f>LOG10(2.207355)</f>
        <v>0.34387218460831398</v>
      </c>
    </row>
    <row r="3046" spans="1:4">
      <c r="A3046">
        <v>1.01677</v>
      </c>
      <c r="B3046">
        <v>3.4607749999999999</v>
      </c>
      <c r="C3046">
        <f>LOG10(1.01677)</f>
        <v>7.222723790380952E-3</v>
      </c>
      <c r="D3046">
        <f>LOG10(3.460775)</f>
        <v>0.53917336484314871</v>
      </c>
    </row>
    <row r="3047" spans="1:4">
      <c r="A3047">
        <v>1.0155540000000001</v>
      </c>
      <c r="B3047">
        <v>3.451972</v>
      </c>
      <c r="C3047">
        <f>LOG10(1.015554)</f>
        <v>6.7030210726900293E-3</v>
      </c>
      <c r="D3047">
        <f>LOG10(3.451972)</f>
        <v>0.53806726436217234</v>
      </c>
    </row>
    <row r="3048" spans="1:4">
      <c r="A3048">
        <v>1.0121329999999999</v>
      </c>
      <c r="B3048">
        <v>3.4205450000000002</v>
      </c>
      <c r="C3048">
        <f>LOG10(1.012133)</f>
        <v>5.2375850046251036E-3</v>
      </c>
      <c r="D3048">
        <f>LOG10(3.420545)</f>
        <v>0.53409530828874607</v>
      </c>
    </row>
    <row r="3049" spans="1:4">
      <c r="A3049">
        <v>1.0120640000000001</v>
      </c>
      <c r="B3049">
        <v>3.5334210000000001</v>
      </c>
      <c r="C3049">
        <f>LOG10(1.012064)</f>
        <v>5.2079768990277962E-3</v>
      </c>
      <c r="D3049">
        <f>LOG10(3.533421)</f>
        <v>0.54819538583112637</v>
      </c>
    </row>
    <row r="3050" spans="1:4">
      <c r="A3050">
        <v>1.010443</v>
      </c>
      <c r="B3050">
        <v>3.4694150000000001</v>
      </c>
      <c r="C3050">
        <f>LOG10(1.010443)</f>
        <v>4.5118195992938587E-3</v>
      </c>
      <c r="D3050">
        <f>LOG10(3.469415)</f>
        <v>0.54025625182538883</v>
      </c>
    </row>
    <row r="3051" spans="1:4">
      <c r="A3051">
        <v>1.008896</v>
      </c>
      <c r="B3051">
        <v>3.5900249999999998</v>
      </c>
      <c r="C3051">
        <f>LOG10(1.008896)</f>
        <v>3.8464001774526279E-3</v>
      </c>
      <c r="D3051">
        <f>LOG10(3.590025)</f>
        <v>0.5550974729026209</v>
      </c>
    </row>
    <row r="3052" spans="1:4">
      <c r="A3052">
        <v>1.0068520000000001</v>
      </c>
      <c r="B3052">
        <v>3.4978259999999999</v>
      </c>
      <c r="C3052">
        <f>LOG10(1.006852)</f>
        <v>2.9656370808132902E-3</v>
      </c>
      <c r="D3052">
        <f>LOG10(3.497826)</f>
        <v>0.54379820162082437</v>
      </c>
    </row>
    <row r="3053" spans="1:4">
      <c r="A3053">
        <v>1.03277</v>
      </c>
      <c r="B3053">
        <v>3.5686810000000002</v>
      </c>
      <c r="C3053">
        <f>LOG10(1.03277)</f>
        <v>1.4003614014670358E-2</v>
      </c>
      <c r="D3053">
        <f>LOG10(3.568681)</f>
        <v>0.55250772864170694</v>
      </c>
    </row>
    <row r="3054" spans="1:4">
      <c r="A3054">
        <v>1.0680879999999999</v>
      </c>
      <c r="B3054">
        <v>3.550519</v>
      </c>
      <c r="C3054">
        <f>LOG10(1.068088)</f>
        <v>2.8607035782400085E-2</v>
      </c>
      <c r="D3054">
        <f>LOG10(3.550519)</f>
        <v>0.55029184104421414</v>
      </c>
    </row>
    <row r="3055" spans="1:4">
      <c r="A3055">
        <v>1.012788</v>
      </c>
      <c r="B3055">
        <v>3.602277</v>
      </c>
      <c r="C3055">
        <f>LOG10(1.012788)</f>
        <v>5.5185469735789658E-3</v>
      </c>
      <c r="D3055">
        <f>LOG10(3.602277)</f>
        <v>0.5565771051925934</v>
      </c>
    </row>
    <row r="3056" spans="1:4">
      <c r="A3056">
        <v>1.0227740000000001</v>
      </c>
      <c r="B3056">
        <v>3.5975860000000002</v>
      </c>
      <c r="C3056">
        <f>LOG10(1.022774)</f>
        <v>9.7796792682094767E-3</v>
      </c>
      <c r="D3056">
        <f>LOG10(3.597586)</f>
        <v>0.55601118450691212</v>
      </c>
    </row>
    <row r="3057" spans="1:4">
      <c r="A3057">
        <v>1.0134620000000001</v>
      </c>
      <c r="B3057">
        <v>3.485528</v>
      </c>
      <c r="C3057">
        <f>LOG10(1.013462)</f>
        <v>5.8074693588706788E-3</v>
      </c>
      <c r="D3057">
        <f>LOG10(3.485528)</f>
        <v>0.54226857586800725</v>
      </c>
    </row>
    <row r="3058" spans="1:4">
      <c r="A3058">
        <v>1.018011</v>
      </c>
      <c r="B3058">
        <v>3.3437000000000001</v>
      </c>
      <c r="C3058">
        <f>LOG10(1.018011)</f>
        <v>7.7524707448370827E-3</v>
      </c>
      <c r="D3058">
        <f>LOG10(3.3437)</f>
        <v>0.52422730519365512</v>
      </c>
    </row>
    <row r="3059" spans="1:4">
      <c r="A3059">
        <v>1.015916</v>
      </c>
      <c r="B3059">
        <v>3.3464170000000002</v>
      </c>
      <c r="C3059">
        <f>LOG10(1.015916)</f>
        <v>6.8578002268129276E-3</v>
      </c>
      <c r="D3059">
        <f>LOG10(3.346417)</f>
        <v>0.52458005782031447</v>
      </c>
    </row>
    <row r="3060" spans="1:4">
      <c r="A3060">
        <v>1.0142070000000001</v>
      </c>
      <c r="B3060">
        <v>3.4484360000000001</v>
      </c>
      <c r="C3060">
        <f>LOG10(1.014207)</f>
        <v>6.1266036984272141E-3</v>
      </c>
      <c r="D3060">
        <f>LOG10(3.448436)</f>
        <v>0.53762217026848225</v>
      </c>
    </row>
    <row r="3061" spans="1:4">
      <c r="A3061">
        <v>1.018489</v>
      </c>
      <c r="B3061">
        <v>3.6066090000000002</v>
      </c>
      <c r="C3061">
        <f>LOG10(1.018489)</f>
        <v>7.9563428451680084E-3</v>
      </c>
      <c r="D3061">
        <f>LOG10(3.606609)</f>
        <v>0.55709906210023918</v>
      </c>
    </row>
    <row r="3062" spans="1:4">
      <c r="A3062">
        <v>1.0141869999999999</v>
      </c>
      <c r="B3062">
        <v>3.6401539999999999</v>
      </c>
      <c r="C3062">
        <f>LOG10(1.014187)</f>
        <v>6.1180393961877046E-3</v>
      </c>
      <c r="D3062">
        <f>LOG10(3.640154)</f>
        <v>0.56111975725769747</v>
      </c>
    </row>
    <row r="3063" spans="1:4">
      <c r="A3063">
        <v>1.0101599999999999</v>
      </c>
      <c r="B3063">
        <v>3.5843289999999999</v>
      </c>
      <c r="C3063">
        <f>LOG10(1.01016)</f>
        <v>4.3901674596283505E-3</v>
      </c>
      <c r="D3063">
        <f>LOG10(3.584329)</f>
        <v>0.55440786603664072</v>
      </c>
    </row>
    <row r="3064" spans="1:4">
      <c r="A3064">
        <v>1.016534</v>
      </c>
      <c r="B3064">
        <v>3.933424</v>
      </c>
      <c r="C3064">
        <f>LOG10(1.016534)</f>
        <v>7.1219090590969175E-3</v>
      </c>
      <c r="D3064">
        <f>LOG10(3.933424)</f>
        <v>0.59477076332693946</v>
      </c>
    </row>
    <row r="3065" spans="1:4">
      <c r="A3065">
        <v>1.023299</v>
      </c>
      <c r="B3065">
        <v>3.9867279999999998</v>
      </c>
      <c r="C3065">
        <f>LOG10(1.023299)</f>
        <v>1.0002549721026112E-2</v>
      </c>
      <c r="D3065">
        <f>LOG10(3.986728)</f>
        <v>0.6006166063349021</v>
      </c>
    </row>
    <row r="3066" spans="1:4">
      <c r="A3066">
        <v>1.0273049999999999</v>
      </c>
      <c r="B3066">
        <v>4.1057410000000001</v>
      </c>
      <c r="C3066">
        <f>LOG10(1.027305)</f>
        <v>1.1699401875580322E-2</v>
      </c>
      <c r="D3066">
        <f>LOG10(4.105741)</f>
        <v>0.61339154956000796</v>
      </c>
    </row>
    <row r="3067" spans="1:4">
      <c r="A3067">
        <v>1.027415</v>
      </c>
      <c r="B3067">
        <v>3.9906190000000001</v>
      </c>
      <c r="C3067">
        <f>LOG10(1.027415)</f>
        <v>1.1745902024559277E-2</v>
      </c>
      <c r="D3067">
        <f>LOG10(3.990619)</f>
        <v>0.60104026597089222</v>
      </c>
    </row>
    <row r="3068" spans="1:4">
      <c r="A3068">
        <v>1.012618</v>
      </c>
      <c r="B3068">
        <v>4.0896679999999996</v>
      </c>
      <c r="C3068">
        <f>LOG10(1.012618)</f>
        <v>5.4456430105247157E-3</v>
      </c>
      <c r="D3068">
        <f>LOG10(4.089668)</f>
        <v>0.61168805333244025</v>
      </c>
    </row>
    <row r="3069" spans="1:4">
      <c r="A3069">
        <v>1.0166500000000001</v>
      </c>
      <c r="B3069">
        <v>4.1314570000000002</v>
      </c>
      <c r="C3069">
        <f>LOG10(1.01665)</f>
        <v>7.1714649870950149E-3</v>
      </c>
      <c r="D3069">
        <f>LOG10(4.131457)</f>
        <v>0.61610323700051006</v>
      </c>
    </row>
    <row r="3070" spans="1:4">
      <c r="A3070">
        <v>1.020035</v>
      </c>
      <c r="B3070">
        <v>4.026389</v>
      </c>
      <c r="C3070">
        <f>LOG10(1.020035)</f>
        <v>8.6150737678812976E-3</v>
      </c>
      <c r="D3070">
        <f>LOG10(4.026389)</f>
        <v>0.6049157309083989</v>
      </c>
    </row>
    <row r="3071" spans="1:4">
      <c r="A3071">
        <v>1.0131600000000001</v>
      </c>
      <c r="B3071">
        <v>4.1820529999999998</v>
      </c>
      <c r="C3071">
        <f>LOG10(1.01316)</f>
        <v>5.6780353208452233E-3</v>
      </c>
      <c r="D3071">
        <f>LOG10(4.182053)</f>
        <v>0.62138953241797223</v>
      </c>
    </row>
    <row r="3072" spans="1:4">
      <c r="A3072">
        <v>1.024737</v>
      </c>
      <c r="B3072">
        <v>3.9390779999999999</v>
      </c>
      <c r="C3072">
        <f>LOG10(1.024737)</f>
        <v>1.0612417484683211E-2</v>
      </c>
      <c r="D3072">
        <f>LOG10(3.939078)</f>
        <v>0.59539458061472617</v>
      </c>
    </row>
    <row r="3073" spans="1:4">
      <c r="A3073">
        <v>1.0151239999999999</v>
      </c>
      <c r="B3073">
        <v>4.2017720000000001</v>
      </c>
      <c r="C3073">
        <f>LOG10(1.015124)</f>
        <v>6.5190956743652979E-3</v>
      </c>
      <c r="D3073">
        <f>LOG10(4.201772)</f>
        <v>0.62343248266575613</v>
      </c>
    </row>
    <row r="3074" spans="1:4">
      <c r="A3074">
        <v>1.0100039999999999</v>
      </c>
      <c r="B3074">
        <v>3.9031220000000002</v>
      </c>
      <c r="C3074">
        <f>LOG10(1.010004)</f>
        <v>4.3230937573827954E-3</v>
      </c>
      <c r="D3074">
        <f>LOG10(3.903122)</f>
        <v>0.59141212624889505</v>
      </c>
    </row>
    <row r="3075" spans="1:4">
      <c r="A3075">
        <v>1.006494</v>
      </c>
      <c r="B3075">
        <v>4.3171780000000002</v>
      </c>
      <c r="C3075">
        <f>LOG10(1.006494)</f>
        <v>2.8111902781673389E-3</v>
      </c>
      <c r="D3075">
        <f>LOG10(4.317178)</f>
        <v>0.63519995526365747</v>
      </c>
    </row>
    <row r="3076" spans="1:4">
      <c r="A3076">
        <v>1.0066120000000001</v>
      </c>
      <c r="B3076">
        <v>3.8977430000000002</v>
      </c>
      <c r="C3076">
        <f>LOG10(1.006612)</f>
        <v>2.8621033934462187E-3</v>
      </c>
      <c r="D3076">
        <f>LOG10(3.897743)</f>
        <v>0.59081320026097017</v>
      </c>
    </row>
    <row r="3077" spans="1:4">
      <c r="A3077">
        <v>1.009539</v>
      </c>
      <c r="B3077">
        <v>4.0847239999999996</v>
      </c>
      <c r="C3077">
        <f>LOG10(1.009539)</f>
        <v>4.1231010484840671E-3</v>
      </c>
      <c r="D3077">
        <f>LOG10(4.084724)</f>
        <v>0.61116271709205916</v>
      </c>
    </row>
    <row r="3078" spans="1:4">
      <c r="A3078">
        <v>1.0082800000000001</v>
      </c>
      <c r="B3078">
        <v>3.830705</v>
      </c>
      <c r="C3078">
        <f>LOG10(1.00828)</f>
        <v>3.581152713504572E-3</v>
      </c>
      <c r="D3078">
        <f>LOG10(3.830705)</f>
        <v>0.5832787085466038</v>
      </c>
    </row>
    <row r="3079" spans="1:4">
      <c r="A3079">
        <v>1.008918</v>
      </c>
      <c r="B3079">
        <v>3.9797169999999999</v>
      </c>
      <c r="C3079">
        <f>LOG10(1.008918)</f>
        <v>3.855870305623248E-3</v>
      </c>
      <c r="D3079">
        <f>LOG10(3.979717)</f>
        <v>0.59985219023745406</v>
      </c>
    </row>
    <row r="3080" spans="1:4">
      <c r="A3080">
        <v>1.0088200000000001</v>
      </c>
      <c r="B3080">
        <v>3.9004490000000001</v>
      </c>
      <c r="C3080">
        <f>LOG10(1.00882)</f>
        <v>3.8136836002532191E-3</v>
      </c>
      <c r="D3080">
        <f>LOG10(3.900449)</f>
        <v>0.59111460369273983</v>
      </c>
    </row>
    <row r="3081" spans="1:4">
      <c r="A3081">
        <v>1.0077830000000001</v>
      </c>
      <c r="B3081">
        <v>3.9321259999999998</v>
      </c>
      <c r="C3081">
        <f>LOG10(1.007783)</f>
        <v>3.3670280935116999E-3</v>
      </c>
      <c r="D3081">
        <f>LOG10(3.932126)</f>
        <v>0.59462742579996986</v>
      </c>
    </row>
    <row r="3082" spans="1:4">
      <c r="A3082">
        <v>1.0068889999999999</v>
      </c>
      <c r="B3082">
        <v>3.830641</v>
      </c>
      <c r="C3082">
        <f>LOG10(1.006889)</f>
        <v>2.9815963286333033E-3</v>
      </c>
      <c r="D3082">
        <f>LOG10(3.830641)</f>
        <v>0.58327145268142222</v>
      </c>
    </row>
    <row r="3083" spans="1:4">
      <c r="A3083">
        <v>1.013577</v>
      </c>
      <c r="B3083">
        <v>3.8368129999999998</v>
      </c>
      <c r="C3083">
        <f>LOG10(1.013577)</f>
        <v>5.85674701507009E-3</v>
      </c>
      <c r="D3083">
        <f>LOG10(3.836813)</f>
        <v>0.58397063291028406</v>
      </c>
    </row>
    <row r="3084" spans="1:4">
      <c r="A3084">
        <v>1.006443</v>
      </c>
      <c r="B3084">
        <v>3.6811780000000001</v>
      </c>
      <c r="C3084">
        <f>LOG10(1.006443)</f>
        <v>2.7891836097203729E-3</v>
      </c>
      <c r="D3084">
        <f>LOG10(3.681178)</f>
        <v>0.56598681786741012</v>
      </c>
    </row>
    <row r="3085" spans="1:4">
      <c r="A3085">
        <v>1.0058469999999999</v>
      </c>
      <c r="B3085">
        <v>3.7454770000000002</v>
      </c>
      <c r="C3085">
        <f>LOG10(1.005847)</f>
        <v>2.531924945429395E-3</v>
      </c>
      <c r="D3085">
        <f>LOG10(3.745477)</f>
        <v>0.57350713452577073</v>
      </c>
    </row>
    <row r="3086" spans="1:4">
      <c r="A3086">
        <v>1.0059290000000001</v>
      </c>
      <c r="B3086">
        <v>3.4872779999999999</v>
      </c>
      <c r="C3086">
        <f>LOG10(1.005929)</f>
        <v>2.5673286360349576E-3</v>
      </c>
      <c r="D3086">
        <f>LOG10(3.487278)</f>
        <v>0.54248656998953826</v>
      </c>
    </row>
    <row r="3087" spans="1:4">
      <c r="A3087">
        <v>1.0056700000000001</v>
      </c>
      <c r="B3087">
        <v>3.6888580000000002</v>
      </c>
      <c r="C3087">
        <f>LOG10(1.00567)</f>
        <v>2.4554949440968514E-3</v>
      </c>
      <c r="D3087">
        <f>LOG10(3.688858)</f>
        <v>0.56689193768725799</v>
      </c>
    </row>
    <row r="3088" spans="1:4">
      <c r="A3088">
        <v>1.0091460000000001</v>
      </c>
      <c r="B3088">
        <v>3.682134</v>
      </c>
      <c r="C3088">
        <f>LOG10(1.009146)</f>
        <v>3.9540031124076693E-3</v>
      </c>
      <c r="D3088">
        <f>LOG10(3.682134)</f>
        <v>0.56609958927436177</v>
      </c>
    </row>
    <row r="3089" spans="1:4">
      <c r="A3089">
        <v>1.0062599999999999</v>
      </c>
      <c r="B3089">
        <v>3.614039</v>
      </c>
      <c r="C3089">
        <f>LOG10(1.00626)</f>
        <v>2.7102093244857199E-3</v>
      </c>
      <c r="D3089">
        <f>LOG10(3.614039)</f>
        <v>0.55799283483072537</v>
      </c>
    </row>
    <row r="3090" spans="1:4">
      <c r="A3090">
        <v>1.0041020000000001</v>
      </c>
      <c r="B3090">
        <v>3.659125</v>
      </c>
      <c r="C3090">
        <f>LOG10(1.004102)</f>
        <v>1.7778321188685051E-3</v>
      </c>
      <c r="D3090">
        <f>LOG10(3.659125)</f>
        <v>0.56337724574869463</v>
      </c>
    </row>
    <row r="3091" spans="1:4">
      <c r="A3091">
        <v>1.033717</v>
      </c>
      <c r="B3091">
        <v>3.580476</v>
      </c>
      <c r="C3091">
        <f>LOG10(1.033717)</f>
        <v>1.4401658525139374E-2</v>
      </c>
      <c r="D3091">
        <f>LOG10(3.580476)</f>
        <v>0.55394076698786554</v>
      </c>
    </row>
    <row r="3092" spans="1:4">
      <c r="A3092">
        <v>1.0312060000000001</v>
      </c>
      <c r="B3092">
        <v>3.5720619999999998</v>
      </c>
      <c r="C3092">
        <f>LOG10(1.031206)</f>
        <v>1.3345431264771258E-2</v>
      </c>
      <c r="D3092">
        <f>LOG10(3.572062)</f>
        <v>0.55291898829719133</v>
      </c>
    </row>
    <row r="3093" spans="1:4">
      <c r="A3093">
        <v>1.015619</v>
      </c>
      <c r="B3093">
        <v>3.6677529999999998</v>
      </c>
      <c r="C3093">
        <f>LOG10(1.015619)</f>
        <v>6.7308169732197623E-3</v>
      </c>
      <c r="D3093">
        <f>LOG10(3.667753)</f>
        <v>0.56440008099227124</v>
      </c>
    </row>
    <row r="3094" spans="1:4">
      <c r="A3094">
        <v>1.0044569999999999</v>
      </c>
      <c r="B3094">
        <v>3.5747740000000001</v>
      </c>
      <c r="C3094">
        <f>LOG10(1.004457)</f>
        <v>1.931349683133222E-3</v>
      </c>
      <c r="D3094">
        <f>LOG10(3.574774)</f>
        <v>0.55324859056914921</v>
      </c>
    </row>
    <row r="3095" spans="1:4">
      <c r="A3095">
        <v>1.004659</v>
      </c>
      <c r="B3095">
        <v>3.7253539999999998</v>
      </c>
      <c r="C3095">
        <f>LOG10(1.004659)</f>
        <v>2.0186791211946123E-3</v>
      </c>
      <c r="D3095">
        <f>LOG10(3.725354)</f>
        <v>0.57116754767271838</v>
      </c>
    </row>
    <row r="3096" spans="1:4">
      <c r="A3096">
        <v>1.0041089999999999</v>
      </c>
      <c r="B3096">
        <v>3.5004469999999999</v>
      </c>
      <c r="C3096">
        <f>LOG10(1.004109)</f>
        <v>1.7808597503009371E-3</v>
      </c>
      <c r="D3096">
        <f>LOG10(3.500447)</f>
        <v>0.54412350641824769</v>
      </c>
    </row>
    <row r="3097" spans="1:4">
      <c r="A3097">
        <v>1.0054860000000001</v>
      </c>
      <c r="B3097">
        <v>3.737943</v>
      </c>
      <c r="C3097">
        <f>LOG10(1.005486)</f>
        <v>2.3760280256746695E-3</v>
      </c>
      <c r="D3097">
        <f>LOG10(3.737943)</f>
        <v>0.57263267452429778</v>
      </c>
    </row>
    <row r="3098" spans="1:4">
      <c r="A3098">
        <v>1.006437</v>
      </c>
      <c r="B3098">
        <v>3.6482800000000002</v>
      </c>
      <c r="C3098">
        <f>LOG10(1.006437)</f>
        <v>2.7865945165887348E-3</v>
      </c>
      <c r="D3098">
        <f>LOG10(3.64828)</f>
        <v>0.56208816238346493</v>
      </c>
    </row>
    <row r="3099" spans="1:4">
      <c r="A3099">
        <v>1.00461</v>
      </c>
      <c r="B3099">
        <v>3.6236890000000002</v>
      </c>
      <c r="C3099">
        <f>LOG10(1.00461)</f>
        <v>1.9974968607631188E-3</v>
      </c>
      <c r="D3099">
        <f>LOG10(3.623689)</f>
        <v>0.55915091765277491</v>
      </c>
    </row>
    <row r="3100" spans="1:4">
      <c r="A3100">
        <v>1.004046</v>
      </c>
      <c r="B3100">
        <v>3.7204470000000001</v>
      </c>
      <c r="C3100">
        <f>LOG10(1.004046)</f>
        <v>1.7536103075349672E-3</v>
      </c>
      <c r="D3100">
        <f>LOG10(3.720447)</f>
        <v>0.57059512213214247</v>
      </c>
    </row>
    <row r="3101" spans="1:4">
      <c r="A3101">
        <v>1.0083740000000001</v>
      </c>
      <c r="B3101">
        <v>3.607129</v>
      </c>
      <c r="C3101">
        <f>LOG10(1.008374)</f>
        <v>3.6216392633326416E-3</v>
      </c>
      <c r="D3101">
        <f>LOG10(3.607129)</f>
        <v>0.55716167405841699</v>
      </c>
    </row>
    <row r="3102" spans="1:4">
      <c r="A3102">
        <v>1.0054479999999999</v>
      </c>
      <c r="B3102">
        <v>3.62616</v>
      </c>
      <c r="C3102">
        <f>LOG10(1.005448)</f>
        <v>2.3596145677348495E-3</v>
      </c>
      <c r="D3102">
        <f>LOG10(3.62616)</f>
        <v>0.55944696291008655</v>
      </c>
    </row>
    <row r="3103" spans="1:4">
      <c r="A3103">
        <v>1.005463</v>
      </c>
      <c r="B3103">
        <v>3.7045650000000001</v>
      </c>
      <c r="C3103">
        <f>LOG10(1.005463)</f>
        <v>2.3660936383935833E-3</v>
      </c>
      <c r="D3103">
        <f>LOG10(3.704565)</f>
        <v>0.56873721928138476</v>
      </c>
    </row>
    <row r="3104" spans="1:4">
      <c r="A3104">
        <v>1.0047060000000001</v>
      </c>
      <c r="B3104">
        <v>3.7276609999999999</v>
      </c>
      <c r="C3104">
        <f>LOG10(1.004706)</f>
        <v>2.0389958288641813E-3</v>
      </c>
      <c r="D3104">
        <f>LOG10(3.727661)</f>
        <v>0.57143640997924816</v>
      </c>
    </row>
    <row r="3105" spans="1:4">
      <c r="A3105">
        <v>1.0072540000000001</v>
      </c>
      <c r="B3105">
        <v>3.6969919999999998</v>
      </c>
      <c r="C3105">
        <f>LOG10(1.007254)</f>
        <v>3.1390007310317498E-3</v>
      </c>
      <c r="D3105">
        <f>LOG10(3.696992)</f>
        <v>0.56784851079501253</v>
      </c>
    </row>
    <row r="3106" spans="1:4">
      <c r="A3106">
        <v>1.005816</v>
      </c>
      <c r="B3106">
        <v>3.6888879999999999</v>
      </c>
      <c r="C3106">
        <f>LOG10(1.005816)</f>
        <v>2.5185398715477161E-3</v>
      </c>
      <c r="D3106">
        <f>LOG10(3.688888)</f>
        <v>0.56689546961542603</v>
      </c>
    </row>
    <row r="3107" spans="1:4">
      <c r="A3107">
        <v>1.0094810000000001</v>
      </c>
      <c r="B3107">
        <v>3.6580159999999999</v>
      </c>
      <c r="C3107">
        <f>LOG10(1.009481)</f>
        <v>4.0981492600349482E-3</v>
      </c>
      <c r="D3107">
        <f>LOG10(3.658016)</f>
        <v>0.5632456007293849</v>
      </c>
    </row>
    <row r="3108" spans="1:4">
      <c r="A3108">
        <v>1.039514</v>
      </c>
      <c r="B3108">
        <v>4.1618209999999998</v>
      </c>
      <c r="C3108">
        <f>LOG10(1.039514)</f>
        <v>1.6830342712031949E-2</v>
      </c>
      <c r="D3108">
        <f>LOG10(4.161821)</f>
        <v>0.61928339726340043</v>
      </c>
    </row>
    <row r="3109" spans="1:4">
      <c r="A3109">
        <v>1.0057849999999999</v>
      </c>
      <c r="B3109">
        <v>3.482561</v>
      </c>
      <c r="C3109">
        <f>LOG10(1.005785)</f>
        <v>2.5051543851216146E-3</v>
      </c>
      <c r="D3109">
        <f>LOG10(3.482561)</f>
        <v>0.54189873219761775</v>
      </c>
    </row>
    <row r="3110" spans="1:4">
      <c r="A3110">
        <v>1.008195</v>
      </c>
      <c r="B3110">
        <v>3.4925790000000001</v>
      </c>
      <c r="C3110">
        <f>LOG10(1.008195)</f>
        <v>3.5445392856329749E-3</v>
      </c>
      <c r="D3110">
        <f>LOG10(3.492579)</f>
        <v>0.54314623837277365</v>
      </c>
    </row>
    <row r="3111" spans="1:4">
      <c r="A3111">
        <v>1.0097259999999999</v>
      </c>
      <c r="B3111">
        <v>3.7603879999999998</v>
      </c>
      <c r="C3111">
        <f>LOG10(1.009726)</f>
        <v>4.2035392954185196E-3</v>
      </c>
      <c r="D3111">
        <f>LOG10(3.760388)</f>
        <v>0.5752326581099404</v>
      </c>
    </row>
    <row r="3112" spans="1:4">
      <c r="A3112">
        <v>1.005995</v>
      </c>
      <c r="B3112">
        <v>3.7317529999999999</v>
      </c>
      <c r="C3112">
        <f>LOG10(1.005995)</f>
        <v>2.5958221932626188E-3</v>
      </c>
      <c r="D3112">
        <f>LOG10(3.731753)</f>
        <v>0.57191289062456718</v>
      </c>
    </row>
    <row r="3113" spans="1:4">
      <c r="A3113">
        <v>1.0082770000000001</v>
      </c>
      <c r="B3113">
        <v>3.7555320000000001</v>
      </c>
      <c r="C3113">
        <f>LOG10(1.008277)</f>
        <v>3.579860527421362E-3</v>
      </c>
      <c r="D3113">
        <f>LOG10(3.755532)</f>
        <v>0.57467146685256343</v>
      </c>
    </row>
    <row r="3114" spans="1:4">
      <c r="A3114">
        <v>1.007679</v>
      </c>
      <c r="B3114">
        <v>3.6866629999999998</v>
      </c>
      <c r="C3114">
        <f>LOG10(1.007679)</f>
        <v>3.3222079717152371E-3</v>
      </c>
      <c r="D3114">
        <f>LOG10(3.686663)</f>
        <v>0.56663344031034824</v>
      </c>
    </row>
    <row r="3115" spans="1:4">
      <c r="A3115">
        <v>1.0061340000000001</v>
      </c>
      <c r="B3115">
        <v>3.7564519999999999</v>
      </c>
      <c r="C3115">
        <f>LOG10(1.006134)</f>
        <v>2.6558252378791696E-3</v>
      </c>
      <c r="D3115">
        <f>LOG10(3.756452)</f>
        <v>0.57477784378982755</v>
      </c>
    </row>
    <row r="3116" spans="1:4">
      <c r="A3116">
        <v>1.010159</v>
      </c>
      <c r="B3116">
        <v>3.7971539999999999</v>
      </c>
      <c r="C3116">
        <f>LOG10(1.010159)</f>
        <v>4.3897375329862032E-3</v>
      </c>
      <c r="D3116">
        <f>LOG10(3.797154)</f>
        <v>0.57945821104391926</v>
      </c>
    </row>
    <row r="3117" spans="1:4">
      <c r="A3117">
        <v>1.004094</v>
      </c>
      <c r="B3117">
        <v>3.3696730000000001</v>
      </c>
      <c r="C3117">
        <f>LOG10(1.004094)</f>
        <v>1.7743719428147257E-3</v>
      </c>
      <c r="D3117">
        <f>LOG10(3.369673)</f>
        <v>0.52758775808616376</v>
      </c>
    </row>
    <row r="3118" spans="1:4">
      <c r="A3118">
        <v>1.005314</v>
      </c>
      <c r="B3118">
        <v>3.9614419999999999</v>
      </c>
      <c r="C3118">
        <f>LOG10(1.005314)</f>
        <v>2.3017305808073828E-3</v>
      </c>
      <c r="D3118">
        <f>LOG10(3.961442)</f>
        <v>0.59785330174579399</v>
      </c>
    </row>
    <row r="3119" spans="1:4">
      <c r="A3119">
        <v>1.0086729999999999</v>
      </c>
      <c r="B3119">
        <v>3.9138120000000001</v>
      </c>
      <c r="C3119">
        <f>LOG10(1.008673)</f>
        <v>3.7503958575420353E-3</v>
      </c>
      <c r="D3119">
        <f>LOG10(3.913812)</f>
        <v>0.59259996048306252</v>
      </c>
    </row>
    <row r="3120" spans="1:4">
      <c r="A3120">
        <v>1.0100100000000001</v>
      </c>
      <c r="B3120">
        <v>3.7775110000000001</v>
      </c>
      <c r="C3120">
        <f>LOG10(1.01001)</f>
        <v>4.3256737067212669E-3</v>
      </c>
      <c r="D3120">
        <f>LOG10(3.777511)</f>
        <v>0.5772057376655555</v>
      </c>
    </row>
    <row r="3121" spans="1:4">
      <c r="A3121">
        <v>1.0105679999999999</v>
      </c>
      <c r="B3121">
        <v>3.9146570000000001</v>
      </c>
      <c r="C3121">
        <f>LOG10(1.010568)</f>
        <v>4.5655420286196766E-3</v>
      </c>
      <c r="D3121">
        <f>LOG10(3.914657)</f>
        <v>0.59269371542764582</v>
      </c>
    </row>
    <row r="3122" spans="1:4">
      <c r="A3122">
        <v>1.01549</v>
      </c>
      <c r="B3122">
        <v>4.2461789999999997</v>
      </c>
      <c r="C3122">
        <f>LOG10(1.01549)</f>
        <v>6.6756510631274246E-3</v>
      </c>
      <c r="D3122">
        <f>LOG10(4.246179)</f>
        <v>0.62799829813748786</v>
      </c>
    </row>
    <row r="3123" spans="1:4">
      <c r="A3123">
        <v>1.0234510000000001</v>
      </c>
      <c r="B3123">
        <v>4.0949080000000002</v>
      </c>
      <c r="C3123">
        <f>LOG10(1.023451)</f>
        <v>1.0067054679004093E-2</v>
      </c>
      <c r="D3123">
        <f>LOG10(4.094908)</f>
        <v>0.61224414894352741</v>
      </c>
    </row>
    <row r="3124" spans="1:4">
      <c r="A3124">
        <v>1.011647</v>
      </c>
      <c r="B3124">
        <v>4.0081959999999999</v>
      </c>
      <c r="C3124">
        <f>LOG10(1.011647)</f>
        <v>5.0289979820610396E-3</v>
      </c>
      <c r="D3124">
        <f>LOG10(4.008196)</f>
        <v>0.60294895029362083</v>
      </c>
    </row>
    <row r="3125" spans="1:4">
      <c r="A3125">
        <v>1.0122450000000001</v>
      </c>
      <c r="B3125">
        <v>4.1617110000000004</v>
      </c>
      <c r="C3125">
        <f>LOG10(1.012245)</f>
        <v>5.2856402413672945E-3</v>
      </c>
      <c r="D3125">
        <f>LOG10(4.161711)</f>
        <v>0.6192719183880836</v>
      </c>
    </row>
    <row r="3126" spans="1:4">
      <c r="A3126">
        <v>1.0077640000000001</v>
      </c>
      <c r="B3126">
        <v>4.0672899999999998</v>
      </c>
      <c r="C3126">
        <f>LOG10(1.007764)</f>
        <v>3.3588401473547487E-3</v>
      </c>
      <c r="D3126">
        <f>LOG10(4.06729)</f>
        <v>0.60930513894249194</v>
      </c>
    </row>
    <row r="3127" spans="1:4">
      <c r="A3127">
        <v>1.010373</v>
      </c>
      <c r="B3127">
        <v>3.9682949999999999</v>
      </c>
      <c r="C3127">
        <f>LOG10(1.010373)</f>
        <v>4.4817321358678035E-3</v>
      </c>
      <c r="D3127">
        <f>LOG10(3.968295)</f>
        <v>0.5986039498001825</v>
      </c>
    </row>
    <row r="3128" spans="1:4">
      <c r="A3128">
        <v>1.013943</v>
      </c>
      <c r="B3128">
        <v>4.0127309999999996</v>
      </c>
      <c r="C3128">
        <f>LOG10(1.013943)</f>
        <v>6.013541307706578E-3</v>
      </c>
      <c r="D3128">
        <f>LOG10(4.012731)</f>
        <v>0.60344004706717302</v>
      </c>
    </row>
    <row r="3129" spans="1:4">
      <c r="A3129">
        <v>1.0109729999999999</v>
      </c>
      <c r="B3129">
        <v>3.9689480000000001</v>
      </c>
      <c r="C3129">
        <f>LOG10(1.010973)</f>
        <v>4.7395570671709937E-3</v>
      </c>
      <c r="D3129">
        <f>LOG10(3.968948)</f>
        <v>0.59867540894470483</v>
      </c>
    </row>
    <row r="3130" spans="1:4">
      <c r="A3130">
        <v>1.007687</v>
      </c>
      <c r="B3130">
        <v>3.864344</v>
      </c>
      <c r="C3130">
        <f>LOG10(1.007687)</f>
        <v>3.3256558376167636E-3</v>
      </c>
      <c r="D3130">
        <f>LOG10(3.864344)</f>
        <v>0.58707577992046889</v>
      </c>
    </row>
    <row r="3131" spans="1:4">
      <c r="A3131">
        <v>1.0120210000000001</v>
      </c>
      <c r="B3131">
        <v>3.6655069999999998</v>
      </c>
      <c r="C3131">
        <f>LOG10(1.012021)</f>
        <v>5.1895244499215029E-3</v>
      </c>
      <c r="D3131">
        <f>LOG10(3.665507)</f>
        <v>0.56413405321285126</v>
      </c>
    </row>
    <row r="3132" spans="1:4">
      <c r="A3132">
        <v>1.009992</v>
      </c>
      <c r="B3132">
        <v>3.774797</v>
      </c>
      <c r="C3132">
        <f>LOG10(1.009992)</f>
        <v>4.3179338127266103E-3</v>
      </c>
      <c r="D3132">
        <f>LOG10(3.774797)</f>
        <v>0.57689360122339139</v>
      </c>
    </row>
    <row r="3133" spans="1:4">
      <c r="A3133">
        <v>1.0090509999999999</v>
      </c>
      <c r="B3133">
        <v>3.583637</v>
      </c>
      <c r="C3133">
        <f>LOG10(1.009051)</f>
        <v>3.9131171376377543E-3</v>
      </c>
      <c r="D3133">
        <f>LOG10(3.583637)</f>
        <v>0.5543240119049635</v>
      </c>
    </row>
    <row r="3134" spans="1:4">
      <c r="A3134">
        <v>1.0091829999999999</v>
      </c>
      <c r="B3134">
        <v>3.5305559999999998</v>
      </c>
      <c r="C3134">
        <f>LOG10(1.009183)</f>
        <v>3.9699260821833126E-3</v>
      </c>
      <c r="D3134">
        <f>LOG10(3.530556)</f>
        <v>0.54784310445793472</v>
      </c>
    </row>
    <row r="3135" spans="1:4">
      <c r="A3135">
        <v>1.013987</v>
      </c>
      <c r="B3135">
        <v>3.6973739999999999</v>
      </c>
      <c r="C3135">
        <f>LOG10(1.013987)</f>
        <v>6.0323870836522095E-3</v>
      </c>
      <c r="D3135">
        <f>LOG10(3.697374)</f>
        <v>0.56789338292934688</v>
      </c>
    </row>
    <row r="3136" spans="1:4">
      <c r="A3136">
        <v>1.0206090000000001</v>
      </c>
      <c r="B3136">
        <v>3.6835420000000001</v>
      </c>
      <c r="C3136">
        <f>LOG10(1.020609)</f>
        <v>8.8593937366627431E-3</v>
      </c>
      <c r="D3136">
        <f>LOG10(3.683542)</f>
        <v>0.56626562607477715</v>
      </c>
    </row>
    <row r="3137" spans="1:4">
      <c r="A3137">
        <v>1.0115430000000001</v>
      </c>
      <c r="B3137">
        <v>3.6122939999999999</v>
      </c>
      <c r="C3137">
        <f>LOG10(1.011543)</f>
        <v>4.9843490601528947E-3</v>
      </c>
      <c r="D3137">
        <f>LOG10(3.612294)</f>
        <v>0.55778308975375435</v>
      </c>
    </row>
    <row r="3138" spans="1:4">
      <c r="A3138">
        <v>1.0129349999999999</v>
      </c>
      <c r="B3138">
        <v>3.6597089999999999</v>
      </c>
      <c r="C3138">
        <f>LOG10(1.012935)</f>
        <v>5.5815775942035968E-3</v>
      </c>
      <c r="D3138">
        <f>LOG10(3.659709)</f>
        <v>0.5634465540505279</v>
      </c>
    </row>
    <row r="3139" spans="1:4">
      <c r="A3139">
        <v>1.0089159999999999</v>
      </c>
      <c r="B3139">
        <v>3.4134579999999999</v>
      </c>
      <c r="C3139">
        <f>LOG10(1.008916)</f>
        <v>3.8550093934135894E-3</v>
      </c>
      <c r="D3139">
        <f>LOG10(3.413458)</f>
        <v>0.53319456355785688</v>
      </c>
    </row>
    <row r="3140" spans="1:4">
      <c r="A3140">
        <v>1.0108820000000001</v>
      </c>
      <c r="B3140">
        <v>3.5059749999999998</v>
      </c>
      <c r="C3140">
        <f>LOG10(1.010882)</f>
        <v>4.7004634646329157E-3</v>
      </c>
      <c r="D3140">
        <f>LOG10(3.505975)</f>
        <v>0.54480881495208366</v>
      </c>
    </row>
    <row r="3141" spans="1:4">
      <c r="A3141">
        <v>1.011638</v>
      </c>
      <c r="B3141">
        <v>3.3998499999999998</v>
      </c>
      <c r="C3141">
        <f>LOG10(1.011638)</f>
        <v>5.0251343144738008E-3</v>
      </c>
      <c r="D3141">
        <f>LOG10(3.39985)</f>
        <v>0.5314597565689223</v>
      </c>
    </row>
    <row r="3142" spans="1:4">
      <c r="A3142">
        <v>1.011895</v>
      </c>
      <c r="B3142">
        <v>3.4981870000000002</v>
      </c>
      <c r="C3142">
        <f>LOG10(1.011895)</f>
        <v>5.1354499677883159E-3</v>
      </c>
      <c r="D3142">
        <f>LOG10(3.498187)</f>
        <v>0.54384302152270458</v>
      </c>
    </row>
    <row r="3143" spans="1:4">
      <c r="A3143">
        <v>1.0104379999999999</v>
      </c>
      <c r="B3143">
        <v>3.4852919999999998</v>
      </c>
      <c r="C3143">
        <f>LOG10(1.010438)</f>
        <v>4.5096705638884736E-3</v>
      </c>
      <c r="D3143">
        <f>LOG10(3.485292)</f>
        <v>0.54223916942865913</v>
      </c>
    </row>
    <row r="3144" spans="1:4">
      <c r="A3144">
        <v>1.011565</v>
      </c>
      <c r="B3144">
        <v>3.487266</v>
      </c>
      <c r="C3144">
        <f>LOG10(1.011565)</f>
        <v>4.9937944072151715E-3</v>
      </c>
      <c r="D3144">
        <f>LOG10(3.487266)</f>
        <v>0.54248507554523251</v>
      </c>
    </row>
    <row r="3145" spans="1:4">
      <c r="A3145">
        <v>1.0147299999999999</v>
      </c>
      <c r="B3145">
        <v>3.4431970000000001</v>
      </c>
      <c r="C3145">
        <f>LOG10(1.01473)</f>
        <v>6.3505002699482185E-3</v>
      </c>
      <c r="D3145">
        <f>LOG10(3.443197)</f>
        <v>0.53696187125691752</v>
      </c>
    </row>
    <row r="3146" spans="1:4">
      <c r="A3146">
        <v>1.020529</v>
      </c>
      <c r="B3146">
        <v>3.4649999999999999</v>
      </c>
      <c r="C3146">
        <f>LOG10(1.020529)</f>
        <v>8.8253504151723939E-3</v>
      </c>
      <c r="D3146">
        <f>LOG10(3.465)</f>
        <v>0.53970323894782557</v>
      </c>
    </row>
    <row r="3147" spans="1:4">
      <c r="A3147">
        <v>1.0257229999999999</v>
      </c>
      <c r="B3147">
        <v>3.5082800000000001</v>
      </c>
      <c r="C3147">
        <f>LOG10(1.025723)</f>
        <v>1.1030093900865387E-2</v>
      </c>
      <c r="D3147">
        <f>LOG10(3.50828)</f>
        <v>0.54509424763647318</v>
      </c>
    </row>
    <row r="3148" spans="1:4">
      <c r="A3148">
        <v>1.0181929999999999</v>
      </c>
      <c r="B3148">
        <v>3.4482689999999998</v>
      </c>
      <c r="C3148">
        <f>LOG10(1.018193)</f>
        <v>7.8301069698094739E-3</v>
      </c>
      <c r="D3148">
        <f>LOG10(3.448269)</f>
        <v>0.53760113785416497</v>
      </c>
    </row>
    <row r="3149" spans="1:4">
      <c r="A3149">
        <v>1.0134339999999999</v>
      </c>
      <c r="B3149">
        <v>3.4841709999999999</v>
      </c>
      <c r="C3149">
        <f>LOG10(1.013434)</f>
        <v>5.7954704743752479E-3</v>
      </c>
      <c r="D3149">
        <f>LOG10(3.484171)</f>
        <v>0.5420994616438809</v>
      </c>
    </row>
    <row r="3150" spans="1:4">
      <c r="A3150">
        <v>1.0079549999999999</v>
      </c>
      <c r="B3150">
        <v>3.501217</v>
      </c>
      <c r="C3150">
        <f>LOG10(1.007955)</f>
        <v>3.4411435302089117E-3</v>
      </c>
      <c r="D3150">
        <f>LOG10(3.501217)</f>
        <v>0.54421902849768877</v>
      </c>
    </row>
    <row r="3151" spans="1:4">
      <c r="A3151">
        <v>1.011228</v>
      </c>
      <c r="B3151">
        <v>3.4619010000000001</v>
      </c>
      <c r="C3151">
        <f>LOG10(1.011228)</f>
        <v>4.849086331049684E-3</v>
      </c>
      <c r="D3151">
        <f>LOG10(3.461901)</f>
        <v>0.53931464419550768</v>
      </c>
    </row>
    <row r="3152" spans="1:4">
      <c r="A3152">
        <v>1.0107790000000001</v>
      </c>
      <c r="B3152">
        <v>3.5504129999999998</v>
      </c>
      <c r="C3152">
        <f>LOG10(1.010779)</f>
        <v>4.6562104156056819E-3</v>
      </c>
      <c r="D3152">
        <f>LOG10(3.550413)</f>
        <v>0.55027887508000395</v>
      </c>
    </row>
    <row r="3153" spans="1:4">
      <c r="A3153">
        <v>1.014057</v>
      </c>
      <c r="B3153">
        <v>3.4887090000000001</v>
      </c>
      <c r="C3153">
        <f>LOG10(1.014057)</f>
        <v>6.0623673145991782E-3</v>
      </c>
      <c r="D3153">
        <f>LOG10(3.488709)</f>
        <v>0.54266474561180378</v>
      </c>
    </row>
    <row r="3154" spans="1:4">
      <c r="A3154">
        <v>1.0117590000000001</v>
      </c>
      <c r="B3154">
        <v>3.4180830000000002</v>
      </c>
      <c r="C3154">
        <f>LOG10(1.011759)</f>
        <v>5.0770763034882656E-3</v>
      </c>
      <c r="D3154">
        <f>LOG10(3.418083)</f>
        <v>0.53378260431928315</v>
      </c>
    </row>
    <row r="3155" spans="1:4">
      <c r="A3155">
        <v>1.0120420000000001</v>
      </c>
      <c r="B3155">
        <v>3.7752129999999999</v>
      </c>
      <c r="C3155">
        <f>LOG10(1.012042)</f>
        <v>5.1985362090617238E-3</v>
      </c>
      <c r="D3155">
        <f>LOG10(3.775213)</f>
        <v>0.57694145983673228</v>
      </c>
    </row>
    <row r="3156" spans="1:4">
      <c r="A3156">
        <v>1.033555</v>
      </c>
      <c r="B3156">
        <v>3.59314</v>
      </c>
      <c r="C3156">
        <f>LOG10(1.033555)</f>
        <v>1.4333592294655586E-2</v>
      </c>
      <c r="D3156">
        <f>LOG10(3.59314)</f>
        <v>0.5554741390089768</v>
      </c>
    </row>
    <row r="3157" spans="1:4">
      <c r="A3157">
        <v>1.0111969999999999</v>
      </c>
      <c r="B3157">
        <v>3.3758240000000002</v>
      </c>
      <c r="C3157">
        <f>LOG10(1.011197)</f>
        <v>4.8357724836238418E-3</v>
      </c>
      <c r="D3157">
        <f>LOG10(3.375824)</f>
        <v>0.528379796418876</v>
      </c>
    </row>
    <row r="3158" spans="1:4">
      <c r="A3158">
        <v>1.0107699999999999</v>
      </c>
      <c r="B3158">
        <v>3.6236139999999999</v>
      </c>
      <c r="C3158">
        <f>LOG10(1.01077)</f>
        <v>4.6523434301037527E-3</v>
      </c>
      <c r="D3158">
        <f>LOG10(3.623614)</f>
        <v>0.55914192890588688</v>
      </c>
    </row>
    <row r="3159" spans="1:4">
      <c r="A3159">
        <v>1.0104340000000001</v>
      </c>
      <c r="B3159">
        <v>3.6053310000000001</v>
      </c>
      <c r="C3159">
        <f>LOG10(1.010434)</f>
        <v>4.5079513279076009E-3</v>
      </c>
      <c r="D3159">
        <f>LOG10(3.605331)</f>
        <v>0.55694514280704421</v>
      </c>
    </row>
    <row r="3160" spans="1:4">
      <c r="A3160">
        <v>1.0237499999999999</v>
      </c>
      <c r="B3160">
        <v>3.6987399999999999</v>
      </c>
      <c r="C3160">
        <f>LOG10(1.02375)</f>
        <v>1.0193914768474862E-2</v>
      </c>
      <c r="D3160">
        <f>LOG10(3.69874)</f>
        <v>0.56805380400155459</v>
      </c>
    </row>
    <row r="3161" spans="1:4">
      <c r="A3161">
        <v>1.0198689999999999</v>
      </c>
      <c r="B3161">
        <v>3.825164</v>
      </c>
      <c r="C3161">
        <f>LOG10(1.019869)</f>
        <v>8.5443911434488502E-3</v>
      </c>
      <c r="D3161">
        <f>LOG10(3.825164)</f>
        <v>0.58265005982118567</v>
      </c>
    </row>
    <row r="3162" spans="1:4">
      <c r="A3162">
        <v>1.008942</v>
      </c>
      <c r="B3162">
        <v>3.8549410000000002</v>
      </c>
      <c r="C3162">
        <f>LOG10(1.008942)</f>
        <v>3.8662011190257434E-3</v>
      </c>
      <c r="D3162">
        <f>LOG10(3.854941)</f>
        <v>0.58601773554637537</v>
      </c>
    </row>
    <row r="3163" spans="1:4">
      <c r="A3163">
        <v>1.008985</v>
      </c>
      <c r="B3163">
        <v>3.82856</v>
      </c>
      <c r="C3163">
        <f>LOG10(1.008985)</f>
        <v>3.8847098784850036E-3</v>
      </c>
      <c r="D3163">
        <f>LOG10(3.82856)</f>
        <v>0.58303545761115849</v>
      </c>
    </row>
    <row r="3164" spans="1:4">
      <c r="A3164">
        <v>1.0158830000000001</v>
      </c>
      <c r="B3164">
        <v>3.485957</v>
      </c>
      <c r="C3164">
        <f>LOG10(1.015883)</f>
        <v>6.8436928097859026E-3</v>
      </c>
      <c r="D3164">
        <f>LOG10(3.485957)</f>
        <v>0.54232202569482946</v>
      </c>
    </row>
    <row r="3165" spans="1:4">
      <c r="A3165">
        <v>1.0575209999999999</v>
      </c>
      <c r="B3165">
        <v>3.9081009999999998</v>
      </c>
      <c r="C3165">
        <f>LOG10(1.057521)</f>
        <v>2.4289000249033726E-2</v>
      </c>
      <c r="D3165">
        <f>LOG10(3.908101)</f>
        <v>0.59196577899142977</v>
      </c>
    </row>
    <row r="3166" spans="1:4">
      <c r="A3166">
        <v>1.0118549999999999</v>
      </c>
      <c r="B3166">
        <v>4.0378230000000004</v>
      </c>
      <c r="C3166">
        <f>LOG10(1.011855)</f>
        <v>5.11828205744523E-3</v>
      </c>
      <c r="D3166">
        <f>LOG10(4.037823)</f>
        <v>0.60614727750804342</v>
      </c>
    </row>
    <row r="3167" spans="1:4">
      <c r="A3167">
        <v>1.014189</v>
      </c>
      <c r="B3167">
        <v>3.7653910000000002</v>
      </c>
      <c r="C3167">
        <f>LOG10(1.014189)</f>
        <v>6.1188958340116896E-3</v>
      </c>
      <c r="D3167">
        <f>LOG10(3.765391)</f>
        <v>0.57581008022479052</v>
      </c>
    </row>
    <row r="3168" spans="1:4">
      <c r="A3168">
        <v>1.013819</v>
      </c>
      <c r="B3168">
        <v>3.8388140000000002</v>
      </c>
      <c r="C3168">
        <f>LOG10(1.013819)</f>
        <v>5.9604260842995556E-3</v>
      </c>
      <c r="D3168">
        <f>LOG10(3.838814)</f>
        <v>0.58419706998909871</v>
      </c>
    </row>
    <row r="3169" spans="1:4">
      <c r="A3169">
        <v>1.0073259999999999</v>
      </c>
      <c r="B3169">
        <v>4.0319529999999997</v>
      </c>
      <c r="C3169">
        <f>LOG10(1.007326)</f>
        <v>3.1700436310012543E-3</v>
      </c>
      <c r="D3169">
        <f>LOG10(4.031953)</f>
        <v>0.60551546094748421</v>
      </c>
    </row>
    <row r="3170" spans="1:4">
      <c r="A3170">
        <v>1.015263</v>
      </c>
      <c r="B3170">
        <v>3.9158270000000002</v>
      </c>
      <c r="C3170">
        <f>LOG10(1.015263)</f>
        <v>6.5785591491402135E-3</v>
      </c>
      <c r="D3170">
        <f>LOG10(3.915827)</f>
        <v>0.59282349656189193</v>
      </c>
    </row>
    <row r="3171" spans="1:4">
      <c r="A3171">
        <v>1.0079199999999999</v>
      </c>
      <c r="B3171">
        <v>3.8443930000000002</v>
      </c>
      <c r="C3171">
        <f>LOG10(1.00792)</f>
        <v>3.4260629256395369E-3</v>
      </c>
      <c r="D3171">
        <f>LOG10(3.844393)</f>
        <v>0.58482777780170325</v>
      </c>
    </row>
    <row r="3172" spans="1:4">
      <c r="A3172">
        <v>1.0093080000000001</v>
      </c>
      <c r="B3172">
        <v>4.0053369999999999</v>
      </c>
      <c r="C3172">
        <f>LOG10(1.009308)</f>
        <v>4.0237155816731486E-3</v>
      </c>
      <c r="D3172">
        <f>LOG10(4.005337)</f>
        <v>0.60263906251342625</v>
      </c>
    </row>
    <row r="3173" spans="1:4">
      <c r="A3173">
        <v>1.011857</v>
      </c>
      <c r="B3173">
        <v>3.8263929999999999</v>
      </c>
      <c r="C3173">
        <f>LOG10(1.011857)</f>
        <v>5.1191404690807121E-3</v>
      </c>
      <c r="D3173">
        <f>LOG10(3.826393)</f>
        <v>0.58278957336668991</v>
      </c>
    </row>
    <row r="3174" spans="1:4">
      <c r="A3174">
        <v>1.011819</v>
      </c>
      <c r="B3174">
        <v>3.8949449999999999</v>
      </c>
      <c r="C3174">
        <f>LOG10(1.011819)</f>
        <v>5.1028303578630509E-3</v>
      </c>
      <c r="D3174">
        <f>LOG10(3.894945)</f>
        <v>0.59050132943729938</v>
      </c>
    </row>
    <row r="3175" spans="1:4">
      <c r="A3175">
        <v>1.008591</v>
      </c>
      <c r="B3175">
        <v>3.7399040000000001</v>
      </c>
      <c r="C3175">
        <f>LOG10(1.008591)</f>
        <v>3.7150884832611833E-3</v>
      </c>
      <c r="D3175">
        <f>LOG10(3.739904)</f>
        <v>0.57286045439156041</v>
      </c>
    </row>
    <row r="3176" spans="1:4">
      <c r="A3176">
        <v>1.0051410000000001</v>
      </c>
      <c r="B3176">
        <v>3.695309</v>
      </c>
      <c r="C3176">
        <f>LOG10(1.005141)</f>
        <v>2.226988350262857E-3</v>
      </c>
      <c r="D3176">
        <f>LOG10(3.695309)</f>
        <v>0.56765075974952028</v>
      </c>
    </row>
    <row r="3177" spans="1:4">
      <c r="A3177">
        <v>1.005063</v>
      </c>
      <c r="B3177">
        <v>3.629175</v>
      </c>
      <c r="C3177">
        <f>LOG10(1.005063)</f>
        <v>2.1932853334491764E-3</v>
      </c>
      <c r="D3177">
        <f>LOG10(3.629175)</f>
        <v>0.55980791052678802</v>
      </c>
    </row>
    <row r="3178" spans="1:4">
      <c r="A3178">
        <v>1.0056719999999999</v>
      </c>
      <c r="B3178">
        <v>3.7191380000000001</v>
      </c>
      <c r="C3178">
        <f>LOG10(1.005672)</f>
        <v>2.4563586350690829E-3</v>
      </c>
      <c r="D3178">
        <f>LOG10(3.719138)</f>
        <v>0.57044229331637442</v>
      </c>
    </row>
    <row r="3179" spans="1:4">
      <c r="A3179">
        <v>1.006623</v>
      </c>
      <c r="B3179">
        <v>3.5903330000000002</v>
      </c>
      <c r="C3179">
        <f>LOG10(1.006623)</f>
        <v>2.8668492271923794E-3</v>
      </c>
      <c r="D3179">
        <f>LOG10(3.590333)</f>
        <v>0.55513473085006826</v>
      </c>
    </row>
    <row r="3180" spans="1:4">
      <c r="A3180">
        <v>1.0061469999999999</v>
      </c>
      <c r="B3180">
        <v>3.6055130000000002</v>
      </c>
      <c r="C3180">
        <f>LOG10(1.006147)</f>
        <v>2.6614366095163737E-3</v>
      </c>
      <c r="D3180">
        <f>LOG10(3.605513)</f>
        <v>0.55696706578741195</v>
      </c>
    </row>
    <row r="3181" spans="1:4">
      <c r="A3181">
        <v>1.0060469999999999</v>
      </c>
      <c r="B3181">
        <v>3.4920149999999999</v>
      </c>
      <c r="C3181">
        <f>LOG10(1.006047)</f>
        <v>2.618270345998965E-3</v>
      </c>
      <c r="D3181">
        <f>LOG10(3.492015)</f>
        <v>0.54307610055565037</v>
      </c>
    </row>
    <row r="3182" spans="1:4">
      <c r="A3182">
        <v>1.0063359999999999</v>
      </c>
      <c r="B3182">
        <v>3.5933380000000001</v>
      </c>
      <c r="C3182">
        <f>LOG10(1.006336)</f>
        <v>2.7430091319387015E-3</v>
      </c>
      <c r="D3182">
        <f>LOG10(3.593338)</f>
        <v>0.55549807014949892</v>
      </c>
    </row>
    <row r="3183" spans="1:4">
      <c r="A3183">
        <v>1.0057579999999999</v>
      </c>
      <c r="B3183">
        <v>3.460334</v>
      </c>
      <c r="C3183">
        <f>LOG10(1.005758)</f>
        <v>2.4934957220832487E-3</v>
      </c>
      <c r="D3183">
        <f>LOG10(3.460334)</f>
        <v>0.53911801999399844</v>
      </c>
    </row>
    <row r="3184" spans="1:4">
      <c r="A3184">
        <v>1.007908</v>
      </c>
      <c r="B3184">
        <v>3.6050279999999999</v>
      </c>
      <c r="C3184">
        <f>LOG10(1.007908)</f>
        <v>3.4208923120922921E-3</v>
      </c>
      <c r="D3184">
        <f>LOG10(3.605028)</f>
        <v>0.55690864220337277</v>
      </c>
    </row>
    <row r="3185" spans="1:4">
      <c r="A3185">
        <v>1.004132</v>
      </c>
      <c r="B3185">
        <v>3.592295</v>
      </c>
      <c r="C3185">
        <f>LOG10(1.004132)</f>
        <v>1.7908075335443404E-3</v>
      </c>
      <c r="D3185">
        <f>LOG10(3.592295)</f>
        <v>0.55537199381139302</v>
      </c>
    </row>
    <row r="3186" spans="1:4">
      <c r="A3186">
        <v>1.0053859999999999</v>
      </c>
      <c r="B3186">
        <v>3.5765910000000001</v>
      </c>
      <c r="C3186">
        <f>LOG10(1.005386)</f>
        <v>2.332833383523187E-3</v>
      </c>
      <c r="D3186">
        <f>LOG10(3.576591)</f>
        <v>0.55346927937208368</v>
      </c>
    </row>
    <row r="3187" spans="1:4">
      <c r="A3187">
        <v>1.007617</v>
      </c>
      <c r="B3187">
        <v>3.4525980000000001</v>
      </c>
      <c r="C3187">
        <f>LOG10(1.007617)</f>
        <v>3.2954860828348946E-3</v>
      </c>
      <c r="D3187">
        <f>LOG10(3.452598)</f>
        <v>0.53814601462364153</v>
      </c>
    </row>
    <row r="3188" spans="1:4">
      <c r="A3188">
        <v>1.005169</v>
      </c>
      <c r="B3188">
        <v>3.438034</v>
      </c>
      <c r="C3188">
        <f>LOG10(1.005169)</f>
        <v>2.2390862311807663E-3</v>
      </c>
      <c r="D3188">
        <f>LOG10(3.438034)</f>
        <v>0.53631016727231673</v>
      </c>
    </row>
    <row r="3189" spans="1:4">
      <c r="A3189">
        <v>1.0035080000000001</v>
      </c>
      <c r="B3189">
        <v>3.5721980000000002</v>
      </c>
      <c r="C3189">
        <f>LOG10(1.003508)</f>
        <v>1.5208390477259538E-3</v>
      </c>
      <c r="D3189">
        <f>LOG10(3.572198)</f>
        <v>0.55293552298365189</v>
      </c>
    </row>
    <row r="3190" spans="1:4">
      <c r="A3190">
        <v>1.004551</v>
      </c>
      <c r="B3190">
        <v>3.3916390000000001</v>
      </c>
      <c r="C3190">
        <f>LOG10(1.004551)</f>
        <v>1.9719903190378208E-3</v>
      </c>
      <c r="D3190">
        <f>LOG10(3.391639)</f>
        <v>0.53040962051528384</v>
      </c>
    </row>
    <row r="3191" spans="1:4">
      <c r="A3191">
        <v>1.0056290000000001</v>
      </c>
      <c r="B3191">
        <v>3.5801440000000002</v>
      </c>
      <c r="C3191">
        <f>LOG10(1.005629)</f>
        <v>2.4377889006289418E-3</v>
      </c>
      <c r="D3191">
        <f>LOG10(3.580144)</f>
        <v>0.5539004951208778</v>
      </c>
    </row>
    <row r="3192" spans="1:4">
      <c r="A3192">
        <v>1.0067189999999999</v>
      </c>
      <c r="B3192">
        <v>3.4966460000000001</v>
      </c>
      <c r="C3192">
        <f>LOG10(1.006719)</f>
        <v>2.9082652114556136E-3</v>
      </c>
      <c r="D3192">
        <f>LOG10(3.496646)</f>
        <v>0.54365166661617847</v>
      </c>
    </row>
    <row r="3193" spans="1:4">
      <c r="A3193">
        <v>1.0075099999999999</v>
      </c>
      <c r="B3193">
        <v>3.5636679999999998</v>
      </c>
      <c r="C3193">
        <f>LOG10(1.00751)</f>
        <v>3.2493654069595231E-3</v>
      </c>
      <c r="D3193">
        <f>LOG10(3.563668)</f>
        <v>0.55189723731653972</v>
      </c>
    </row>
    <row r="3194" spans="1:4">
      <c r="A3194">
        <v>1.005244</v>
      </c>
      <c r="B3194">
        <v>3.6262620000000001</v>
      </c>
      <c r="C3194">
        <f>LOG10(1.005244)</f>
        <v>2.2714896091512379E-3</v>
      </c>
      <c r="D3194">
        <f>LOG10(3.626262)</f>
        <v>0.55945917897725894</v>
      </c>
    </row>
    <row r="3195" spans="1:4">
      <c r="A3195">
        <v>1.0180739999999999</v>
      </c>
      <c r="B3195">
        <v>3.603704</v>
      </c>
      <c r="C3195">
        <f>LOG10(1.018074)</f>
        <v>7.7793463933179697E-3</v>
      </c>
      <c r="D3195">
        <f>LOG10(3.603704)</f>
        <v>0.55674911181702869</v>
      </c>
    </row>
    <row r="3196" spans="1:4">
      <c r="A3196">
        <v>1.0098940000000001</v>
      </c>
      <c r="B3196">
        <v>3.7161360000000001</v>
      </c>
      <c r="C3196">
        <f>LOG10(1.009894)</f>
        <v>4.2757919698108377E-3</v>
      </c>
      <c r="D3196">
        <f>LOG10(3.716136)</f>
        <v>0.57009159955431077</v>
      </c>
    </row>
    <row r="3197" spans="1:4">
      <c r="A3197">
        <v>1.004759</v>
      </c>
      <c r="B3197">
        <v>3.6212</v>
      </c>
      <c r="C3197">
        <f>LOG10(1.004759)</f>
        <v>2.061905018669576E-3</v>
      </c>
      <c r="D3197">
        <f>LOG10(3.6212)</f>
        <v>0.55885251169845729</v>
      </c>
    </row>
    <row r="3198" spans="1:4">
      <c r="A3198">
        <v>1.0057780000000001</v>
      </c>
      <c r="B3198">
        <v>3.6823079999999999</v>
      </c>
      <c r="C3198">
        <f>LOG10(1.005778)</f>
        <v>2.5021317988309761E-3</v>
      </c>
      <c r="D3198">
        <f>LOG10(3.682308)</f>
        <v>0.56612011146460117</v>
      </c>
    </row>
    <row r="3199" spans="1:4">
      <c r="A3199">
        <v>1.005128</v>
      </c>
      <c r="B3199">
        <v>3.7224759999999999</v>
      </c>
      <c r="C3199">
        <f>LOG10(1.005128)</f>
        <v>2.2213713624220869E-3</v>
      </c>
      <c r="D3199">
        <f>LOG10(3.722476)</f>
        <v>0.57083190639703685</v>
      </c>
    </row>
    <row r="3200" spans="1:4">
      <c r="A3200">
        <v>1.0067619999999999</v>
      </c>
      <c r="B3200">
        <v>3.8761939999999999</v>
      </c>
      <c r="C3200">
        <f>LOG10(1.006762)</f>
        <v>2.9268148404063567E-3</v>
      </c>
      <c r="D3200">
        <f>LOG10(3.876194)</f>
        <v>0.58840550496826782</v>
      </c>
    </row>
    <row r="3201" spans="1:4">
      <c r="A3201">
        <v>1.005595</v>
      </c>
      <c r="B3201">
        <v>3.8229950000000001</v>
      </c>
      <c r="C3201">
        <f>LOG10(1.005595)</f>
        <v>2.4231052926507591E-3</v>
      </c>
      <c r="D3201">
        <f>LOG10(3.822995)</f>
        <v>0.58240373001645696</v>
      </c>
    </row>
    <row r="3202" spans="1:4">
      <c r="A3202">
        <v>1.0045850000000001</v>
      </c>
      <c r="B3202">
        <v>3.7116389999999999</v>
      </c>
      <c r="C3202">
        <f>LOG10(1.004585)</f>
        <v>1.986689186995151E-3</v>
      </c>
      <c r="D3202">
        <f>LOG10(3.711639)</f>
        <v>0.56956572941857209</v>
      </c>
    </row>
    <row r="3203" spans="1:4">
      <c r="A3203">
        <v>1.0078419999999999</v>
      </c>
      <c r="B3203">
        <v>3.4756300000000002</v>
      </c>
      <c r="C3203">
        <f>LOG10(1.007842)</f>
        <v>3.3924528371416184E-3</v>
      </c>
      <c r="D3203">
        <f>LOG10(3.47563)</f>
        <v>0.54103353719230374</v>
      </c>
    </row>
    <row r="3204" spans="1:4">
      <c r="A3204">
        <v>1.0051559999999999</v>
      </c>
      <c r="B3204">
        <v>3.6144310000000002</v>
      </c>
      <c r="C3204">
        <f>LOG10(1.005156)</f>
        <v>2.2334693998078904E-3</v>
      </c>
      <c r="D3204">
        <f>LOG10(3.614431)</f>
        <v>0.55803993841891841</v>
      </c>
    </row>
    <row r="3205" spans="1:4">
      <c r="A3205">
        <v>1.015261</v>
      </c>
      <c r="B3205">
        <v>3.581423</v>
      </c>
      <c r="C3205">
        <f>LOG10(1.015261)</f>
        <v>6.5777036173032769E-3</v>
      </c>
      <c r="D3205">
        <f>LOG10(3.581423)</f>
        <v>0.5540556183357439</v>
      </c>
    </row>
    <row r="3206" spans="1:4">
      <c r="A3206">
        <v>1.0093479999999999</v>
      </c>
      <c r="B3206">
        <v>3.646293</v>
      </c>
      <c r="C3206">
        <f>LOG10(1.009348)</f>
        <v>4.040926814571002E-3</v>
      </c>
      <c r="D3206">
        <f>LOG10(3.646293)</f>
        <v>0.56185156370746703</v>
      </c>
    </row>
    <row r="3207" spans="1:4">
      <c r="A3207">
        <v>1.007012</v>
      </c>
      <c r="B3207">
        <v>3.847143</v>
      </c>
      <c r="C3207">
        <f>LOG10(1.007012)</f>
        <v>3.0346458294186565E-3</v>
      </c>
      <c r="D3207">
        <f>LOG10(3.847143)</f>
        <v>0.58513832952404432</v>
      </c>
    </row>
    <row r="3208" spans="1:4">
      <c r="A3208">
        <v>1.008216</v>
      </c>
      <c r="B3208">
        <v>3.9480209999999998</v>
      </c>
      <c r="C3208">
        <f>LOG10(1.008216)</f>
        <v>3.553585243148897E-3</v>
      </c>
      <c r="D3208">
        <f>LOG10(3.948021)</f>
        <v>0.59637945406848669</v>
      </c>
    </row>
    <row r="3209" spans="1:4">
      <c r="A3209">
        <v>1.0046649999999999</v>
      </c>
      <c r="B3209">
        <v>3.8435839999999999</v>
      </c>
      <c r="C3209">
        <f>LOG10(1.004665)</f>
        <v>2.0212727963723393E-3</v>
      </c>
      <c r="D3209">
        <f>LOG10(3.843584)</f>
        <v>0.58473637684221635</v>
      </c>
    </row>
    <row r="3210" spans="1:4">
      <c r="A3210">
        <v>1.007298</v>
      </c>
      <c r="B3210">
        <v>3.987225</v>
      </c>
      <c r="C3210">
        <f>LOG10(1.007298)</f>
        <v>3.1579716557899613E-3</v>
      </c>
      <c r="D3210">
        <f>LOG10(3.987225)</f>
        <v>0.60067074368880558</v>
      </c>
    </row>
    <row r="3211" spans="1:4">
      <c r="A3211">
        <v>1.0084059999999999</v>
      </c>
      <c r="B3211">
        <v>3.8887830000000001</v>
      </c>
      <c r="C3211">
        <f>LOG10(1.008406)</f>
        <v>3.6354210575015524E-3</v>
      </c>
      <c r="D3211">
        <f>LOG10(3.888783)</f>
        <v>0.58981370953163437</v>
      </c>
    </row>
    <row r="3212" spans="1:4">
      <c r="A3212">
        <v>1.00634</v>
      </c>
      <c r="B3212">
        <v>4.0681960000000004</v>
      </c>
      <c r="C3212">
        <f>LOG10(1.00634)</f>
        <v>2.7447353689760245E-3</v>
      </c>
      <c r="D3212">
        <f>LOG10(4.068196)</f>
        <v>0.60940186845618816</v>
      </c>
    </row>
    <row r="3213" spans="1:4">
      <c r="A3213">
        <v>1.010475</v>
      </c>
      <c r="B3213">
        <v>4.0497139999999998</v>
      </c>
      <c r="C3213">
        <f>LOG10(1.010475)</f>
        <v>4.5255731740772784E-3</v>
      </c>
      <c r="D3213">
        <f>LOG10(4.049714)</f>
        <v>0.60742435343500079</v>
      </c>
    </row>
    <row r="3214" spans="1:4">
      <c r="A3214">
        <v>1.0067079999999999</v>
      </c>
      <c r="B3214">
        <v>4.1772549999999997</v>
      </c>
      <c r="C3214">
        <f>LOG10(1.006708)</f>
        <v>2.9035198302712192E-3</v>
      </c>
      <c r="D3214">
        <f>LOG10(4.177255)</f>
        <v>0.62089098752574035</v>
      </c>
    </row>
    <row r="3215" spans="1:4">
      <c r="A3215">
        <v>1.0070460000000001</v>
      </c>
      <c r="B3215">
        <v>3.9188830000000001</v>
      </c>
      <c r="C3215">
        <f>LOG10(1.007046)</f>
        <v>3.0493087759536144E-3</v>
      </c>
      <c r="D3215">
        <f>LOG10(3.918883)</f>
        <v>0.59316229761617623</v>
      </c>
    </row>
    <row r="3216" spans="1:4">
      <c r="A3216">
        <v>1.0084850000000001</v>
      </c>
      <c r="B3216">
        <v>4.0425639999999996</v>
      </c>
      <c r="C3216">
        <f>LOG10(1.008485)</f>
        <v>3.6694429893639816E-3</v>
      </c>
      <c r="D3216">
        <f>LOG10(4.042564)</f>
        <v>0.60665690418185814</v>
      </c>
    </row>
    <row r="3217" spans="1:4">
      <c r="A3217">
        <v>1.0101359999999999</v>
      </c>
      <c r="B3217">
        <v>3.7665649999999999</v>
      </c>
      <c r="C3217">
        <f>LOG10(1.010136)</f>
        <v>4.3798491027477954E-3</v>
      </c>
      <c r="D3217">
        <f>LOG10(3.766565)</f>
        <v>0.57594546649786049</v>
      </c>
    </row>
    <row r="3218" spans="1:4">
      <c r="A3218">
        <v>1.014035</v>
      </c>
      <c r="B3218">
        <v>4.0798909999999999</v>
      </c>
      <c r="C3218">
        <f>LOG10(1.014035)</f>
        <v>6.0529451793092286E-3</v>
      </c>
      <c r="D3218">
        <f>LOG10(4.079891)</f>
        <v>0.6106485604597639</v>
      </c>
    </row>
    <row r="3219" spans="1:4">
      <c r="A3219">
        <v>1.018364</v>
      </c>
      <c r="B3219">
        <v>3.9397859999999998</v>
      </c>
      <c r="C3219">
        <f>LOG10(1.018364)</f>
        <v>7.9030382519489316E-3</v>
      </c>
      <c r="D3219">
        <f>LOG10(3.939786)</f>
        <v>0.59547263260141237</v>
      </c>
    </row>
    <row r="3220" spans="1:4">
      <c r="A3220">
        <v>1.0098940000000001</v>
      </c>
      <c r="B3220">
        <v>3.866104</v>
      </c>
      <c r="C3220">
        <f>LOG10(1.009894)</f>
        <v>4.2757919698108377E-3</v>
      </c>
      <c r="D3220">
        <f>LOG10(3.866104)</f>
        <v>0.58727353257370618</v>
      </c>
    </row>
    <row r="3221" spans="1:4">
      <c r="A3221">
        <v>1.0115689999999999</v>
      </c>
      <c r="B3221">
        <v>3.9839220000000002</v>
      </c>
      <c r="C3221">
        <f>LOG10(1.011569)</f>
        <v>4.9955117209744861E-3</v>
      </c>
      <c r="D3221">
        <f>LOG10(3.983922)</f>
        <v>0.60031082691501447</v>
      </c>
    </row>
    <row r="3222" spans="1:4">
      <c r="A3222">
        <v>1.0108699999999999</v>
      </c>
      <c r="B3222">
        <v>3.8137639999999999</v>
      </c>
      <c r="C3222">
        <f>LOG10(1.01087)</f>
        <v>4.6953080016651988E-3</v>
      </c>
      <c r="D3222">
        <f>LOG10(3.813764)</f>
        <v>0.58135381491112204</v>
      </c>
    </row>
    <row r="3223" spans="1:4">
      <c r="A3223">
        <v>1.0081469999999999</v>
      </c>
      <c r="B3223">
        <v>3.9689549999999998</v>
      </c>
      <c r="C3223">
        <f>LOG10(1.008147)</f>
        <v>3.5238621037508191E-3</v>
      </c>
      <c r="D3223">
        <f>LOG10(3.968955)</f>
        <v>0.59867617490553182</v>
      </c>
    </row>
    <row r="3224" spans="1:4">
      <c r="A3224">
        <v>1.0096050000000001</v>
      </c>
      <c r="B3224">
        <v>3.910148</v>
      </c>
      <c r="C3224">
        <f>LOG10(1.009605)</f>
        <v>4.151492719227586E-3</v>
      </c>
      <c r="D3224">
        <f>LOG10(3.910148)</f>
        <v>0.59219319585287022</v>
      </c>
    </row>
    <row r="3225" spans="1:4">
      <c r="A3225">
        <v>1.0088969999999999</v>
      </c>
      <c r="B3225">
        <v>3.8775379999999999</v>
      </c>
      <c r="C3225">
        <f>LOG10(1.008897)</f>
        <v>3.8468306423039456E-3</v>
      </c>
      <c r="D3225">
        <f>LOG10(3.877538)</f>
        <v>0.58855606260671178</v>
      </c>
    </row>
    <row r="3226" spans="1:4">
      <c r="A3226">
        <v>1.006772</v>
      </c>
      <c r="B3226">
        <v>3.9747520000000001</v>
      </c>
      <c r="C3226">
        <f>LOG10(1.006772)</f>
        <v>2.9311285940545164E-3</v>
      </c>
      <c r="D3226">
        <f>LOG10(3.974752)</f>
        <v>0.5993100365417956</v>
      </c>
    </row>
    <row r="3227" spans="1:4">
      <c r="A3227">
        <v>1.0100169999999999</v>
      </c>
      <c r="B3227">
        <v>3.9693299999999998</v>
      </c>
      <c r="C3227">
        <f>LOG10(1.010017)</f>
        <v>4.3286836282453636E-3</v>
      </c>
      <c r="D3227">
        <f>LOG10(3.96933)</f>
        <v>0.59871720654670735</v>
      </c>
    </row>
    <row r="3228" spans="1:4">
      <c r="A3228">
        <v>1.007862</v>
      </c>
      <c r="B3228">
        <v>3.8138540000000001</v>
      </c>
      <c r="C3228">
        <f>LOG10(1.007862)</f>
        <v>3.4010710565214549E-3</v>
      </c>
      <c r="D3228">
        <f>LOG10(3.813854)</f>
        <v>0.58136406358990311</v>
      </c>
    </row>
    <row r="3229" spans="1:4">
      <c r="A3229">
        <v>1.013244</v>
      </c>
      <c r="B3229">
        <v>3.665359</v>
      </c>
      <c r="C3229">
        <f>LOG10(1.013244)</f>
        <v>5.714040714143654E-3</v>
      </c>
      <c r="D3229">
        <f>LOG10(3.665359)</f>
        <v>0.56411651760837289</v>
      </c>
    </row>
    <row r="3230" spans="1:4">
      <c r="A3230">
        <v>1.01142</v>
      </c>
      <c r="B3230">
        <v>3.6623770000000002</v>
      </c>
      <c r="C3230">
        <f>LOG10(1.01142)</f>
        <v>4.9315371982058716E-3</v>
      </c>
      <c r="D3230">
        <f>LOG10(3.662377)</f>
        <v>0.56376304793737875</v>
      </c>
    </row>
    <row r="3231" spans="1:4">
      <c r="A3231">
        <v>1.0087029999999999</v>
      </c>
      <c r="B3231">
        <v>3.6546919999999998</v>
      </c>
      <c r="C3231">
        <f>LOG10(1.008703)</f>
        <v>3.7633124724497638E-3</v>
      </c>
      <c r="D3231">
        <f>LOG10(3.654692)</f>
        <v>0.56285078256974552</v>
      </c>
    </row>
    <row r="3232" spans="1:4">
      <c r="A3232">
        <v>1.007061</v>
      </c>
      <c r="B3232">
        <v>3.6032690000000001</v>
      </c>
      <c r="C3232">
        <f>LOG10(1.007061)</f>
        <v>3.0557775655746379E-3</v>
      </c>
      <c r="D3232">
        <f>LOG10(3.603269)</f>
        <v>0.55669668534065442</v>
      </c>
    </row>
    <row r="3233" spans="1:4">
      <c r="A3233">
        <v>1.010481</v>
      </c>
      <c r="B3233">
        <v>3.545528</v>
      </c>
      <c r="C3233">
        <f>LOG10(1.010481)</f>
        <v>4.5281519208598955E-3</v>
      </c>
      <c r="D3233">
        <f>LOG10(3.545528)</f>
        <v>0.54968091946587316</v>
      </c>
    </row>
    <row r="3234" spans="1:4">
      <c r="A3234">
        <v>1.0116849999999999</v>
      </c>
      <c r="B3234">
        <v>3.6125949999999998</v>
      </c>
      <c r="C3234">
        <f>LOG10(1.011685)</f>
        <v>5.0453108662681361E-3</v>
      </c>
      <c r="D3234">
        <f>LOG10(3.612595)</f>
        <v>0.55781927650738572</v>
      </c>
    </row>
    <row r="3235" spans="1:4">
      <c r="A3235">
        <v>1.011611</v>
      </c>
      <c r="B3235">
        <v>3.488515</v>
      </c>
      <c r="C3235">
        <f>LOG10(1.011611)</f>
        <v>5.0135431054707733E-3</v>
      </c>
      <c r="D3235">
        <f>LOG10(3.488515)</f>
        <v>0.54264059470894876</v>
      </c>
    </row>
    <row r="3236" spans="1:4">
      <c r="A3236">
        <v>1.0098450000000001</v>
      </c>
      <c r="B3236">
        <v>3.4453809999999998</v>
      </c>
      <c r="C3236">
        <f>LOG10(1.009845)</f>
        <v>4.2547195147882638E-3</v>
      </c>
      <c r="D3236">
        <f>LOG10(3.445381)</f>
        <v>0.53723725441444492</v>
      </c>
    </row>
    <row r="3237" spans="1:4">
      <c r="A3237">
        <v>1.0104379999999999</v>
      </c>
      <c r="B3237">
        <v>3.4558620000000002</v>
      </c>
      <c r="C3237">
        <f>LOG10(1.010438)</f>
        <v>4.5096705638884736E-3</v>
      </c>
      <c r="D3237">
        <f>LOG10(3.455862)</f>
        <v>0.53855639184067916</v>
      </c>
    </row>
    <row r="3238" spans="1:4">
      <c r="A3238">
        <v>1.0113319999999999</v>
      </c>
      <c r="B3238">
        <v>3.4939680000000002</v>
      </c>
      <c r="C3238">
        <f>LOG10(1.011332)</f>
        <v>4.8937491604912767E-3</v>
      </c>
      <c r="D3238">
        <f>LOG10(3.493968)</f>
        <v>0.54331892311770169</v>
      </c>
    </row>
    <row r="3239" spans="1:4">
      <c r="A3239">
        <v>1.0092749999999999</v>
      </c>
      <c r="B3239">
        <v>3.1994829999999999</v>
      </c>
      <c r="C3239">
        <f>LOG10(1.009275)</f>
        <v>4.0095158010308284E-3</v>
      </c>
      <c r="D3239">
        <f>LOG10(3.199483)</f>
        <v>0.5050798069489898</v>
      </c>
    </row>
    <row r="3240" spans="1:4">
      <c r="A3240">
        <v>1.0087429999999999</v>
      </c>
      <c r="B3240">
        <v>3.4090410000000002</v>
      </c>
      <c r="C3240">
        <f>LOG10(1.008743)</f>
        <v>3.7805340280982658E-3</v>
      </c>
      <c r="D3240">
        <f>LOG10(3.409041)</f>
        <v>0.53263222445173719</v>
      </c>
    </row>
    <row r="3241" spans="1:4">
      <c r="A3241">
        <v>1.01122</v>
      </c>
      <c r="B3241">
        <v>3.4040870000000001</v>
      </c>
      <c r="C3241">
        <f>LOG10(1.01122)</f>
        <v>4.8456505385296809E-3</v>
      </c>
      <c r="D3241">
        <f>LOG10(3.404087)</f>
        <v>0.5320006510415437</v>
      </c>
    </row>
    <row r="3242" spans="1:4">
      <c r="A3242">
        <v>1.0117560000000001</v>
      </c>
      <c r="B3242">
        <v>3.4497390000000001</v>
      </c>
      <c r="C3242">
        <f>LOG10(1.011756)</f>
        <v>5.0757885606786497E-3</v>
      </c>
      <c r="D3242">
        <f>LOG10(3.449739)</f>
        <v>0.53778623850874874</v>
      </c>
    </row>
    <row r="3243" spans="1:4">
      <c r="A3243">
        <v>1.010043</v>
      </c>
      <c r="B3243">
        <v>3.417087</v>
      </c>
      <c r="C3243">
        <f>LOG10(1.010043)</f>
        <v>4.339863154130875E-3</v>
      </c>
      <c r="D3243">
        <f>LOG10(3.417087)</f>
        <v>0.53365603619967905</v>
      </c>
    </row>
    <row r="3244" spans="1:4">
      <c r="A3244">
        <v>1.013531</v>
      </c>
      <c r="B3244">
        <v>3.4637370000000001</v>
      </c>
      <c r="C3244">
        <f>LOG10(1.013531)</f>
        <v>5.8370366235458351E-3</v>
      </c>
      <c r="D3244">
        <f>LOG10(3.463737)</f>
        <v>0.53954490881154848</v>
      </c>
    </row>
    <row r="3245" spans="1:4">
      <c r="A3245">
        <v>1.0111939999999999</v>
      </c>
      <c r="B3245">
        <v>3.4863029999999999</v>
      </c>
      <c r="C3245">
        <f>LOG10(1.011194)</f>
        <v>4.8344840251153733E-3</v>
      </c>
      <c r="D3245">
        <f>LOG10(3.486303)</f>
        <v>0.54236512962120675</v>
      </c>
    </row>
    <row r="3246" spans="1:4">
      <c r="A3246">
        <v>1.009261</v>
      </c>
      <c r="B3246">
        <v>3.4461379999999999</v>
      </c>
      <c r="C3246">
        <f>LOG10(1.009261)</f>
        <v>4.0034915114003982E-3</v>
      </c>
      <c r="D3246">
        <f>LOG10(3.446138)</f>
        <v>0.53733266470762509</v>
      </c>
    </row>
    <row r="3247" spans="1:4">
      <c r="A3247">
        <v>1.010578</v>
      </c>
      <c r="B3247">
        <v>3.4781930000000001</v>
      </c>
      <c r="C3247">
        <f>LOG10(1.010578)</f>
        <v>4.5698395358943576E-3</v>
      </c>
      <c r="D3247">
        <f>LOG10(3.478193)</f>
        <v>0.54135367672059542</v>
      </c>
    </row>
    <row r="3248" spans="1:4">
      <c r="A3248">
        <v>1.013628</v>
      </c>
      <c r="B3248">
        <v>3.463228</v>
      </c>
      <c r="C3248">
        <f>LOG10(1.013628)</f>
        <v>5.8785987948178197E-3</v>
      </c>
      <c r="D3248">
        <f>LOG10(3.463228)</f>
        <v>0.53948108406530337</v>
      </c>
    </row>
    <row r="3249" spans="1:4">
      <c r="A3249">
        <v>1.013401</v>
      </c>
      <c r="B3249">
        <v>3.5064470000000001</v>
      </c>
      <c r="C3249">
        <f>LOG10(1.013401)</f>
        <v>5.781328506327477E-3</v>
      </c>
      <c r="D3249">
        <f>LOG10(3.506447)</f>
        <v>0.54486727891667908</v>
      </c>
    </row>
    <row r="3250" spans="1:4">
      <c r="A3250">
        <v>1.013722</v>
      </c>
      <c r="B3250">
        <v>3.554017</v>
      </c>
      <c r="C3250">
        <f>LOG10(1.013722)</f>
        <v>5.9188717435717858E-3</v>
      </c>
      <c r="D3250">
        <f>LOG10(3.554017)</f>
        <v>0.55071950084365939</v>
      </c>
    </row>
    <row r="3251" spans="1:4">
      <c r="A3251">
        <v>1.012777</v>
      </c>
      <c r="B3251">
        <v>3.4904890000000002</v>
      </c>
      <c r="C3251">
        <f>LOG10(1.012777)</f>
        <v>5.5138300286268413E-3</v>
      </c>
      <c r="D3251">
        <f>LOG10(3.490489)</f>
        <v>0.54288627369985898</v>
      </c>
    </row>
    <row r="3252" spans="1:4">
      <c r="A3252">
        <v>1.011077</v>
      </c>
      <c r="B3252">
        <v>3.4094169999999999</v>
      </c>
      <c r="C3252">
        <f>LOG10(1.011077)</f>
        <v>4.7842311614394945E-3</v>
      </c>
      <c r="D3252">
        <f>LOG10(3.409417)</f>
        <v>0.53268012229766104</v>
      </c>
    </row>
    <row r="3253" spans="1:4">
      <c r="A3253">
        <v>1.011123</v>
      </c>
      <c r="B3253">
        <v>3.5888789999999999</v>
      </c>
      <c r="C3253">
        <f>LOG10(1.011123)</f>
        <v>4.8039893912594838E-3</v>
      </c>
      <c r="D3253">
        <f>LOG10(3.588879)</f>
        <v>0.55495881622731547</v>
      </c>
    </row>
    <row r="3254" spans="1:4">
      <c r="A3254">
        <v>1.0207200000000001</v>
      </c>
      <c r="B3254">
        <v>3.5016080000000001</v>
      </c>
      <c r="C3254">
        <f>LOG10(1.02072)</f>
        <v>8.9066244256293548E-3</v>
      </c>
      <c r="D3254">
        <f>LOG10(3.501608)</f>
        <v>0.54426752582343962</v>
      </c>
    </row>
    <row r="3255" spans="1:4">
      <c r="A3255">
        <v>1.007085</v>
      </c>
      <c r="B3255">
        <v>3.5908609999999999</v>
      </c>
      <c r="C3255">
        <f>LOG10(1.007085)</f>
        <v>3.0661274285599246E-3</v>
      </c>
      <c r="D3255">
        <f>LOG10(3.590861)</f>
        <v>0.55519859418166961</v>
      </c>
    </row>
    <row r="3256" spans="1:4">
      <c r="A3256">
        <v>1.009393</v>
      </c>
      <c r="B3256">
        <v>3.8977729999999999</v>
      </c>
      <c r="C3256">
        <f>LOG10(1.009393)</f>
        <v>4.0602886363093182E-3</v>
      </c>
      <c r="D3256">
        <f>LOG10(3.897773)</f>
        <v>0.59081654290934826</v>
      </c>
    </row>
    <row r="3257" spans="1:4">
      <c r="A3257">
        <v>1.005458</v>
      </c>
      <c r="B3257">
        <v>3.9878130000000001</v>
      </c>
      <c r="C3257">
        <f>LOG10(1.005458)</f>
        <v>2.3639339589138471E-3</v>
      </c>
      <c r="D3257">
        <f>LOG10(3.987813)</f>
        <v>0.60073478480204467</v>
      </c>
    </row>
    <row r="3258" spans="1:4">
      <c r="A3258">
        <v>1.0100979999999999</v>
      </c>
      <c r="B3258">
        <v>4.078087</v>
      </c>
      <c r="C3258">
        <f>LOG10(1.010098)</f>
        <v>4.3635112029656292E-3</v>
      </c>
      <c r="D3258">
        <f>LOG10(4.078087)</f>
        <v>0.61045648657622953</v>
      </c>
    </row>
    <row r="3259" spans="1:4">
      <c r="A3259">
        <v>1.0159549999999999</v>
      </c>
      <c r="B3259">
        <v>4.0404030000000004</v>
      </c>
      <c r="C3259">
        <f>LOG10(1.015955)</f>
        <v>6.8744720379626152E-3</v>
      </c>
      <c r="D3259">
        <f>LOG10(4.040403)</f>
        <v>0.60642468489956902</v>
      </c>
    </row>
    <row r="3260" spans="1:4">
      <c r="A3260">
        <v>1.0135799999999999</v>
      </c>
      <c r="B3260">
        <v>4.0804419999999997</v>
      </c>
      <c r="C3260">
        <f>LOG10(1.01358)</f>
        <v>5.8580324443147907E-3</v>
      </c>
      <c r="D3260">
        <f>LOG10(4.080442)</f>
        <v>0.61070720911047272</v>
      </c>
    </row>
    <row r="3261" spans="1:4">
      <c r="A3261">
        <v>1.014661</v>
      </c>
      <c r="B3261">
        <v>4.1922620000000004</v>
      </c>
      <c r="C3261">
        <f>LOG10(1.014661)</f>
        <v>6.3209679429961259E-3</v>
      </c>
      <c r="D3261">
        <f>LOG10(4.192262)</f>
        <v>0.6224484165325932</v>
      </c>
    </row>
    <row r="3262" spans="1:4">
      <c r="A3262">
        <v>1.019625</v>
      </c>
      <c r="B3262">
        <v>4.3564930000000004</v>
      </c>
      <c r="C3262">
        <f>LOG10(1.019625)</f>
        <v>8.4404753152189736E-3</v>
      </c>
      <c r="D3262">
        <f>LOG10(4.356493)</f>
        <v>0.63913702054757204</v>
      </c>
    </row>
    <row r="3263" spans="1:4">
      <c r="A3263">
        <v>1.0161020000000001</v>
      </c>
      <c r="B3263">
        <v>4.1711799999999997</v>
      </c>
      <c r="C3263">
        <f>LOG10(1.016102)</f>
        <v>6.9373061897124852E-3</v>
      </c>
      <c r="D3263">
        <f>LOG10(4.17118)</f>
        <v>0.62025893147134281</v>
      </c>
    </row>
    <row r="3264" spans="1:4">
      <c r="A3264">
        <v>1.0203899999999999</v>
      </c>
      <c r="B3264">
        <v>4.156549</v>
      </c>
      <c r="C3264">
        <f>LOG10(1.02039)</f>
        <v>8.766193796925479E-3</v>
      </c>
      <c r="D3264">
        <f>LOG10(4.156549)</f>
        <v>0.61873290460314312</v>
      </c>
    </row>
    <row r="3265" spans="1:4">
      <c r="A3265">
        <v>1.0062469999999999</v>
      </c>
      <c r="B3265">
        <v>4.0062309999999997</v>
      </c>
      <c r="C3265">
        <f>LOG10(1.006247)</f>
        <v>2.7045985829928071E-3</v>
      </c>
      <c r="D3265">
        <f>LOG10(4.006231)</f>
        <v>0.60273598717747023</v>
      </c>
    </row>
    <row r="3266" spans="1:4">
      <c r="A3266">
        <v>1.007854</v>
      </c>
      <c r="B3266">
        <v>4.1764929999999998</v>
      </c>
      <c r="C3266">
        <f>LOG10(1.007854)</f>
        <v>3.3976237892920954E-3</v>
      </c>
      <c r="D3266">
        <f>LOG10(4.176493)</f>
        <v>0.62081175784437381</v>
      </c>
    </row>
    <row r="3267" spans="1:4">
      <c r="A3267">
        <v>1.0102310000000001</v>
      </c>
      <c r="B3267">
        <v>4.0880369999999999</v>
      </c>
      <c r="C3267">
        <f>LOG10(1.010231)</f>
        <v>4.4206911634340901E-3</v>
      </c>
      <c r="D3267">
        <f>LOG10(4.088037)</f>
        <v>0.6115148178563804</v>
      </c>
    </row>
    <row r="3268" spans="1:4">
      <c r="A3268">
        <v>1.00587</v>
      </c>
      <c r="B3268">
        <v>3.9800870000000002</v>
      </c>
      <c r="C3268">
        <f>LOG10(1.00587)</f>
        <v>2.541855540124629E-3</v>
      </c>
      <c r="D3268">
        <f>LOG10(3.980087)</f>
        <v>0.59989256534177071</v>
      </c>
    </row>
    <row r="3269" spans="1:4">
      <c r="A3269">
        <v>1.0092110000000001</v>
      </c>
      <c r="B3269">
        <v>4.0099150000000003</v>
      </c>
      <c r="C3269">
        <f>LOG10(1.009211)</f>
        <v>3.9819755090981087E-3</v>
      </c>
      <c r="D3269">
        <f>LOG10(4.009915)</f>
        <v>0.60313516677923185</v>
      </c>
    </row>
    <row r="3270" spans="1:4">
      <c r="A3270">
        <v>1.0106649999999999</v>
      </c>
      <c r="B3270">
        <v>3.9463439999999999</v>
      </c>
      <c r="C3270">
        <f>LOG10(1.010665)</f>
        <v>4.6072260549313007E-3</v>
      </c>
      <c r="D3270">
        <f>LOG10(3.946344)</f>
        <v>0.59619493970739312</v>
      </c>
    </row>
    <row r="3271" spans="1:4">
      <c r="A3271">
        <v>1.007023</v>
      </c>
      <c r="B3271">
        <v>4.0001280000000001</v>
      </c>
      <c r="C3271">
        <f>LOG10(1.007023)</f>
        <v>3.0393897780600413E-3</v>
      </c>
      <c r="D3271">
        <f>LOG10(4.000128)</f>
        <v>0.60207388852902932</v>
      </c>
    </row>
    <row r="3272" spans="1:4">
      <c r="A3272">
        <v>1.008829</v>
      </c>
      <c r="B3272">
        <v>3.9323999999999999</v>
      </c>
      <c r="C3272">
        <f>LOG10(1.008829)</f>
        <v>3.81755806041663E-3</v>
      </c>
      <c r="D3272">
        <f>LOG10(3.9324)</f>
        <v>0.59465768743000058</v>
      </c>
    </row>
    <row r="3273" spans="1:4">
      <c r="A3273">
        <v>1.0043519999999999</v>
      </c>
      <c r="B3273">
        <v>3.9414859999999998</v>
      </c>
      <c r="C3273">
        <f>LOG10(1.004352)</f>
        <v>1.8859487309855762E-3</v>
      </c>
      <c r="D3273">
        <f>LOG10(3.941486)</f>
        <v>0.59565998830508204</v>
      </c>
    </row>
    <row r="3274" spans="1:4">
      <c r="A3274">
        <v>1.0086820000000001</v>
      </c>
      <c r="B3274">
        <v>3.8138719999999999</v>
      </c>
      <c r="C3274">
        <f>LOG10(1.008682)</f>
        <v>3.7542708823514711E-3</v>
      </c>
      <c r="D3274">
        <f>LOG10(3.813872)</f>
        <v>0.58136611329663723</v>
      </c>
    </row>
    <row r="3275" spans="1:4">
      <c r="A3275">
        <v>1.008529</v>
      </c>
      <c r="B3275">
        <v>3.9131520000000002</v>
      </c>
      <c r="C3275">
        <f>LOG10(1.008529)</f>
        <v>3.6883907579037586E-3</v>
      </c>
      <c r="D3275">
        <f>LOG10(3.913152)</f>
        <v>0.59252671768835041</v>
      </c>
    </row>
    <row r="3276" spans="1:4">
      <c r="A3276">
        <v>1.0094160000000001</v>
      </c>
      <c r="B3276">
        <v>3.9152870000000002</v>
      </c>
      <c r="C3276">
        <f>LOG10(1.009416)</f>
        <v>4.0701843451993154E-3</v>
      </c>
      <c r="D3276">
        <f>LOG10(3.915287)</f>
        <v>0.59276360239597903</v>
      </c>
    </row>
    <row r="3277" spans="1:4">
      <c r="A3277">
        <v>1.0071399999999999</v>
      </c>
      <c r="B3277">
        <v>3.8883369999999999</v>
      </c>
      <c r="C3277">
        <f>LOG10(1.00714)</f>
        <v>3.0898449343108505E-3</v>
      </c>
      <c r="D3277">
        <f>LOG10(3.888337)</f>
        <v>0.58976389794607542</v>
      </c>
    </row>
    <row r="3278" spans="1:4">
      <c r="A3278">
        <v>1.00614</v>
      </c>
      <c r="B3278">
        <v>3.95404</v>
      </c>
      <c r="C3278">
        <f>LOG10(1.00614)</f>
        <v>2.6584151107209453E-3</v>
      </c>
      <c r="D3278">
        <f>LOG10(3.95404)</f>
        <v>0.59704105842515154</v>
      </c>
    </row>
    <row r="3279" spans="1:4">
      <c r="A3279">
        <v>1.008264</v>
      </c>
      <c r="B3279">
        <v>3.8250839999999999</v>
      </c>
      <c r="C3279">
        <f>LOG10(1.008264)</f>
        <v>3.5742610099656416E-3</v>
      </c>
      <c r="D3279">
        <f>LOG10(3.825084)</f>
        <v>0.58264097683235871</v>
      </c>
    </row>
    <row r="3280" spans="1:4">
      <c r="A3280">
        <v>1.007226</v>
      </c>
      <c r="B3280">
        <v>3.6430470000000001</v>
      </c>
      <c r="C3280">
        <f>LOG10(1.007226)</f>
        <v>3.126927892885792E-3</v>
      </c>
      <c r="D3280">
        <f>LOG10(3.643047)</f>
        <v>0.56146477423642027</v>
      </c>
    </row>
    <row r="3281" spans="1:4">
      <c r="A3281">
        <v>1.0081929999999999</v>
      </c>
      <c r="B3281">
        <v>3.8586550000000002</v>
      </c>
      <c r="C3281">
        <f>LOG10(1.008193)</f>
        <v>3.5436777560426064E-3</v>
      </c>
      <c r="D3281">
        <f>LOG10(3.858655)</f>
        <v>0.58643595030131812</v>
      </c>
    </row>
    <row r="3282" spans="1:4">
      <c r="A3282">
        <v>1.0094479999999999</v>
      </c>
      <c r="B3282">
        <v>3.7128260000000002</v>
      </c>
      <c r="C3282">
        <f>LOG10(1.009448)</f>
        <v>4.083951912922535E-3</v>
      </c>
      <c r="D3282">
        <f>LOG10(3.712826)</f>
        <v>0.56970459667820939</v>
      </c>
    </row>
    <row r="3283" spans="1:4">
      <c r="A3283">
        <v>1.0048950000000001</v>
      </c>
      <c r="B3283">
        <v>3.8996369999999998</v>
      </c>
      <c r="C3283">
        <f>LOG10(1.004895)</f>
        <v>2.120685335708296E-3</v>
      </c>
      <c r="D3283">
        <f>LOG10(3.899637)</f>
        <v>0.59102418235108301</v>
      </c>
    </row>
    <row r="3284" spans="1:4">
      <c r="A3284">
        <v>1.006283</v>
      </c>
      <c r="B3284">
        <v>3.626064</v>
      </c>
      <c r="C3284">
        <f>LOG10(1.006283)</f>
        <v>2.7201358434065636E-3</v>
      </c>
      <c r="D3284">
        <f>LOG10(3.626064)</f>
        <v>0.55943546512119724</v>
      </c>
    </row>
    <row r="3285" spans="1:4">
      <c r="A3285">
        <v>1.005941</v>
      </c>
      <c r="B3285">
        <v>3.66798</v>
      </c>
      <c r="C3285">
        <f>LOG10(1.005941)</f>
        <v>2.5725094218539794E-3</v>
      </c>
      <c r="D3285">
        <f>LOG10(3.66798)</f>
        <v>0.56442695897363282</v>
      </c>
    </row>
    <row r="3286" spans="1:4">
      <c r="A3286">
        <v>1.0062660000000001</v>
      </c>
      <c r="B3286">
        <v>3.5927199999999999</v>
      </c>
      <c r="C3286">
        <f>LOG10(1.006266)</f>
        <v>2.71279887303466E-3</v>
      </c>
      <c r="D3286">
        <f>LOG10(3.59272)</f>
        <v>0.55542337161784827</v>
      </c>
    </row>
    <row r="3287" spans="1:4">
      <c r="A3287">
        <v>1.004964</v>
      </c>
      <c r="B3287">
        <v>3.7152449999999999</v>
      </c>
      <c r="C3287">
        <f>LOG10(1.004964)</f>
        <v>2.1505046606092398E-3</v>
      </c>
      <c r="D3287">
        <f>LOG10(3.715245)</f>
        <v>0.56998745837645159</v>
      </c>
    </row>
    <row r="3288" spans="1:4">
      <c r="A3288">
        <v>1.007628</v>
      </c>
      <c r="B3288">
        <v>3.687649</v>
      </c>
      <c r="C3288">
        <f>LOG10(1.007628)</f>
        <v>3.3002271830991068E-3</v>
      </c>
      <c r="D3288">
        <f>LOG10(3.687649)</f>
        <v>0.56674957707312923</v>
      </c>
    </row>
    <row r="3289" spans="1:4">
      <c r="A3289">
        <v>1.004383</v>
      </c>
      <c r="B3289">
        <v>3.828649</v>
      </c>
      <c r="C3289">
        <f>LOG10(1.004383)</f>
        <v>1.8993533154032512E-3</v>
      </c>
      <c r="D3289">
        <f>LOG10(3.828649)</f>
        <v>0.58304555325015472</v>
      </c>
    </row>
    <row r="3290" spans="1:4">
      <c r="A3290">
        <v>1.010629</v>
      </c>
      <c r="B3290">
        <v>3.702496</v>
      </c>
      <c r="C3290">
        <f>LOG10(1.010629)</f>
        <v>4.591756161536141E-3</v>
      </c>
      <c r="D3290">
        <f>LOG10(3.702496)</f>
        <v>0.56849459800246527</v>
      </c>
    </row>
    <row r="3291" spans="1:4">
      <c r="A3291">
        <v>1.0088220000000001</v>
      </c>
      <c r="B3291">
        <v>3.6742759999999999</v>
      </c>
      <c r="C3291">
        <f>LOG10(1.008822)</f>
        <v>3.8145445943877899E-3</v>
      </c>
      <c r="D3291">
        <f>LOG10(3.674276)</f>
        <v>0.5651717760239382</v>
      </c>
    </row>
    <row r="3292" spans="1:4">
      <c r="A3292">
        <v>1.0102979999999999</v>
      </c>
      <c r="B3292">
        <v>3.5709460000000002</v>
      </c>
      <c r="C3292">
        <f>LOG10(1.010298)</f>
        <v>4.4494932546667353E-3</v>
      </c>
      <c r="D3292">
        <f>LOG10(3.570946)</f>
        <v>0.55278328282248168</v>
      </c>
    </row>
    <row r="3293" spans="1:4">
      <c r="A3293">
        <v>1.0095240000000001</v>
      </c>
      <c r="B3293">
        <v>3.679716</v>
      </c>
      <c r="C3293">
        <f>LOG10(1.009524)</f>
        <v>4.1166481371795512E-3</v>
      </c>
      <c r="D3293">
        <f>LOG10(3.679716)</f>
        <v>0.56581430117558107</v>
      </c>
    </row>
    <row r="3294" spans="1:4">
      <c r="A3294">
        <v>1.009023</v>
      </c>
      <c r="B3294">
        <v>3.6325180000000001</v>
      </c>
      <c r="C3294">
        <f>LOG10(1.009023)</f>
        <v>3.9010658000812179E-3</v>
      </c>
      <c r="D3294">
        <f>LOG10(3.632518)</f>
        <v>0.56020777500895957</v>
      </c>
    </row>
    <row r="3295" spans="1:4">
      <c r="A3295">
        <v>1.0102329999999999</v>
      </c>
      <c r="B3295">
        <v>3.8503310000000002</v>
      </c>
      <c r="C3295">
        <f>LOG10(1.010233)</f>
        <v>4.421550955010416E-3</v>
      </c>
      <c r="D3295">
        <f>LOG10(3.850331)</f>
        <v>0.5854980659486092</v>
      </c>
    </row>
    <row r="3296" spans="1:4">
      <c r="A3296">
        <v>1.0184519999999999</v>
      </c>
      <c r="B3296">
        <v>3.774899</v>
      </c>
      <c r="C3296">
        <f>LOG10(1.018452)</f>
        <v>7.9405653672418273E-3</v>
      </c>
      <c r="D3296">
        <f>LOG10(3.774899)</f>
        <v>0.5769053362752814</v>
      </c>
    </row>
    <row r="3297" spans="1:4">
      <c r="A3297">
        <v>1.011406</v>
      </c>
      <c r="B3297">
        <v>3.762966</v>
      </c>
      <c r="C3297">
        <f>LOG10(1.011406)</f>
        <v>4.9255256848609527E-3</v>
      </c>
      <c r="D3297">
        <f>LOG10(3.762966)</f>
        <v>0.57553029430203462</v>
      </c>
    </row>
    <row r="3298" spans="1:4">
      <c r="A3298">
        <v>1.0118400000000001</v>
      </c>
      <c r="B3298">
        <v>3.781336</v>
      </c>
      <c r="C3298">
        <f>LOG10(1.01184)</f>
        <v>5.1118439160962479E-3</v>
      </c>
      <c r="D3298">
        <f>LOG10(3.781336)</f>
        <v>0.57764526939177507</v>
      </c>
    </row>
    <row r="3299" spans="1:4">
      <c r="A3299">
        <v>1.017269</v>
      </c>
      <c r="B3299">
        <v>3.761336</v>
      </c>
      <c r="C3299">
        <f>LOG10(1.017269)</f>
        <v>7.4358101184378873E-3</v>
      </c>
      <c r="D3299">
        <f>LOG10(3.761336)</f>
        <v>0.57534213066464313</v>
      </c>
    </row>
    <row r="3300" spans="1:4">
      <c r="A3300">
        <v>1.0134259999999999</v>
      </c>
      <c r="B3300">
        <v>3.7614679999999998</v>
      </c>
      <c r="C3300">
        <f>LOG10(1.013426)</f>
        <v>5.7920421607716962E-3</v>
      </c>
      <c r="D3300">
        <f>LOG10(3.761468)</f>
        <v>0.57535737149016963</v>
      </c>
    </row>
    <row r="3301" spans="1:4">
      <c r="A3301">
        <v>1.018634</v>
      </c>
      <c r="B3301">
        <v>3.7997030000000001</v>
      </c>
      <c r="C3301">
        <f>LOG10(1.018634)</f>
        <v>8.018167977948255E-3</v>
      </c>
      <c r="D3301">
        <f>LOG10(3.799703)</f>
        <v>0.57974965174786175</v>
      </c>
    </row>
    <row r="3302" spans="1:4">
      <c r="A3302">
        <v>1.0107109999999999</v>
      </c>
      <c r="B3302">
        <v>3.8113579999999998</v>
      </c>
      <c r="C3302">
        <f>LOG10(1.010711)</f>
        <v>4.6269923390575536E-3</v>
      </c>
      <c r="D3302">
        <f>LOG10(3.811358)</f>
        <v>0.58107974387117345</v>
      </c>
    </row>
    <row r="3303" spans="1:4">
      <c r="A3303">
        <v>1.0103679999999999</v>
      </c>
      <c r="B3303">
        <v>3.8510819999999999</v>
      </c>
      <c r="C3303">
        <f>LOG10(1.010368)</f>
        <v>4.4795829515739882E-3</v>
      </c>
      <c r="D3303">
        <f>LOG10(3.851082)</f>
        <v>0.58558276603077408</v>
      </c>
    </row>
    <row r="3304" spans="1:4">
      <c r="A3304">
        <v>1.027968</v>
      </c>
      <c r="B3304">
        <v>3.7880699999999998</v>
      </c>
      <c r="C3304">
        <f>LOG10(1.027968)</f>
        <v>1.197959555446344E-2</v>
      </c>
      <c r="D3304">
        <f>LOG10(3.78807)</f>
        <v>0.5784179957622928</v>
      </c>
    </row>
    <row r="3305" spans="1:4">
      <c r="A3305">
        <v>1.0379020000000001</v>
      </c>
      <c r="B3305">
        <v>3.8901690000000002</v>
      </c>
      <c r="C3305">
        <f>LOG10(1.037902)</f>
        <v>1.6156348822180942E-2</v>
      </c>
      <c r="D3305">
        <f>LOG10(3.890169)</f>
        <v>0.58996846872240649</v>
      </c>
    </row>
    <row r="3306" spans="1:4">
      <c r="A3306">
        <v>1.0323</v>
      </c>
      <c r="B3306">
        <v>4.0442010000000002</v>
      </c>
      <c r="C3306">
        <f>LOG10(1.0323)</f>
        <v>1.380592734059255E-2</v>
      </c>
      <c r="D3306">
        <f>LOG10(4.044201)</f>
        <v>0.60683273223586653</v>
      </c>
    </row>
    <row r="3307" spans="1:4">
      <c r="A3307">
        <v>1.0082660000000001</v>
      </c>
      <c r="B3307">
        <v>4.0135160000000001</v>
      </c>
      <c r="C3307">
        <f>LOG10(1.008266)</f>
        <v>3.5751224788888231E-3</v>
      </c>
      <c r="D3307">
        <f>LOG10(4.013516)</f>
        <v>0.60352499864401365</v>
      </c>
    </row>
    <row r="3308" spans="1:4">
      <c r="A3308">
        <v>1.0052380000000001</v>
      </c>
      <c r="B3308">
        <v>3.877399</v>
      </c>
      <c r="C3308">
        <f>LOG10(1.005238)</f>
        <v>2.2688974278818651E-3</v>
      </c>
      <c r="D3308">
        <f>LOG10(3.877399)</f>
        <v>0.58854049396108876</v>
      </c>
    </row>
    <row r="3309" spans="1:4">
      <c r="A3309">
        <v>1.0112730000000001</v>
      </c>
      <c r="B3309">
        <v>4.1223809999999999</v>
      </c>
      <c r="C3309">
        <f>LOG10(1.011273)</f>
        <v>4.8684121575277954E-3</v>
      </c>
      <c r="D3309">
        <f>LOG10(4.122381)</f>
        <v>0.61514812780005601</v>
      </c>
    </row>
    <row r="3310" spans="1:4">
      <c r="A3310">
        <v>1.0097750000000001</v>
      </c>
      <c r="B3310">
        <v>4.1744620000000001</v>
      </c>
      <c r="C3310">
        <f>LOG10(1.009775)</f>
        <v>4.2246142338488715E-3</v>
      </c>
      <c r="D3310">
        <f>LOG10(4.174462)</f>
        <v>0.62060051203832256</v>
      </c>
    </row>
    <row r="3311" spans="1:4">
      <c r="A3311">
        <v>1.063358</v>
      </c>
      <c r="B3311">
        <v>3.9553370000000001</v>
      </c>
      <c r="C3311">
        <f>LOG10(1.063358)</f>
        <v>2.6679502763508833E-2</v>
      </c>
      <c r="D3311">
        <f>LOG10(3.955337)</f>
        <v>0.59718349188054953</v>
      </c>
    </row>
    <row r="3312" spans="1:4">
      <c r="A3312">
        <v>1.1000000000000001</v>
      </c>
      <c r="B3312">
        <v>3.848255</v>
      </c>
      <c r="C3312">
        <f>LOG10(1.1)</f>
        <v>4.1392685158225077E-2</v>
      </c>
      <c r="D3312">
        <f>LOG10(3.848255)</f>
        <v>0.58526384232201467</v>
      </c>
    </row>
    <row r="3313" spans="1:4">
      <c r="A3313">
        <v>1.008683</v>
      </c>
      <c r="B3313">
        <v>4.0611129999999998</v>
      </c>
      <c r="C3313">
        <f>LOG10(1.008683)</f>
        <v>3.7547014385293244E-3</v>
      </c>
      <c r="D3313">
        <f>LOG10(4.061113)</f>
        <v>0.60864507385194078</v>
      </c>
    </row>
    <row r="3314" spans="1:4">
      <c r="A3314">
        <v>1.0154909999999999</v>
      </c>
      <c r="B3314">
        <v>4.2600319999999998</v>
      </c>
      <c r="C3314">
        <f>LOG10(1.015491)</f>
        <v>6.6760787327923479E-3</v>
      </c>
      <c r="D3314">
        <f>LOG10(4.260032)</f>
        <v>0.62941286139643349</v>
      </c>
    </row>
    <row r="3315" spans="1:4">
      <c r="A3315">
        <v>1.0142599999999999</v>
      </c>
      <c r="B3315">
        <v>4.1041720000000002</v>
      </c>
      <c r="C3315">
        <f>LOG10(1.01426)</f>
        <v>6.1492982826093067E-3</v>
      </c>
      <c r="D3315">
        <f>LOG10(4.104172)</f>
        <v>0.61322555314801142</v>
      </c>
    </row>
    <row r="3316" spans="1:4">
      <c r="A3316">
        <v>1.0110509999999999</v>
      </c>
      <c r="B3316">
        <v>4.2667060000000001</v>
      </c>
      <c r="C3316">
        <f>LOG10(1.011051)</f>
        <v>4.7730630686875592E-3</v>
      </c>
      <c r="D3316">
        <f>LOG10(4.266706)</f>
        <v>0.63009271856200677</v>
      </c>
    </row>
    <row r="3317" spans="1:4">
      <c r="A3317">
        <v>1.008087</v>
      </c>
      <c r="B3317">
        <v>4.1292819999999999</v>
      </c>
      <c r="C3317">
        <f>LOG10(1.008087)</f>
        <v>3.4980142419234073E-3</v>
      </c>
      <c r="D3317">
        <f>LOG10(4.129282)</f>
        <v>0.61587454304952882</v>
      </c>
    </row>
    <row r="3318" spans="1:4">
      <c r="A3318">
        <v>1.0156369999999999</v>
      </c>
      <c r="B3318">
        <v>4.045013</v>
      </c>
      <c r="C3318">
        <f>LOG10(1.015637)</f>
        <v>6.7385139849941511E-3</v>
      </c>
      <c r="D3318">
        <f>LOG10(4.045013)</f>
        <v>0.60691992170087261</v>
      </c>
    </row>
    <row r="3319" spans="1:4">
      <c r="A3319">
        <v>1.0112049999999999</v>
      </c>
      <c r="B3319">
        <v>4.0901449999999997</v>
      </c>
      <c r="C3319">
        <f>LOG10(1.011205)</f>
        <v>4.8392083542917385E-3</v>
      </c>
      <c r="D3319">
        <f>LOG10(4.090145)</f>
        <v>0.61173870448255896</v>
      </c>
    </row>
    <row r="3320" spans="1:4">
      <c r="A3320">
        <v>1.0127710000000001</v>
      </c>
      <c r="B3320">
        <v>3.9680390000000001</v>
      </c>
      <c r="C3320">
        <f>LOG10(1.012771)</f>
        <v>5.511257127968446E-3</v>
      </c>
      <c r="D3320">
        <f>LOG10(3.968039)</f>
        <v>0.59857593198051773</v>
      </c>
    </row>
    <row r="3321" spans="1:4">
      <c r="A3321">
        <v>1.0059899999999999</v>
      </c>
      <c r="B3321">
        <v>3.883775</v>
      </c>
      <c r="C3321">
        <f>LOG10(1.00599)</f>
        <v>2.5936636558882994E-3</v>
      </c>
      <c r="D3321">
        <f>LOG10(3.883775)</f>
        <v>0.58925406184130003</v>
      </c>
    </row>
    <row r="3322" spans="1:4">
      <c r="A3322">
        <v>1.0062390000000001</v>
      </c>
      <c r="B3322">
        <v>3.8911530000000001</v>
      </c>
      <c r="C3322">
        <f>LOG10(1.006239)</f>
        <v>2.7011457829682096E-3</v>
      </c>
      <c r="D3322">
        <f>LOG10(3.891153)</f>
        <v>0.5900783075833278</v>
      </c>
    </row>
    <row r="3323" spans="1:4">
      <c r="A3323">
        <v>1.006494</v>
      </c>
      <c r="B3323">
        <v>3.8753630000000001</v>
      </c>
      <c r="C3323">
        <f>LOG10(1.006494)</f>
        <v>2.8111902781673389E-3</v>
      </c>
      <c r="D3323">
        <f>LOG10(3.875363)</f>
        <v>0.58831238852318612</v>
      </c>
    </row>
    <row r="3324" spans="1:4">
      <c r="A3324">
        <v>1.0094449999999999</v>
      </c>
      <c r="B3324">
        <v>3.9325519999999998</v>
      </c>
      <c r="C3324">
        <f>LOG10(1.009445)</f>
        <v>4.0826612219887412E-3</v>
      </c>
      <c r="D3324">
        <f>LOG10(3.932552)</f>
        <v>0.59467447399430706</v>
      </c>
    </row>
    <row r="3325" spans="1:4">
      <c r="A3325">
        <v>1.009395</v>
      </c>
      <c r="B3325">
        <v>3.7777539999999998</v>
      </c>
      <c r="C3325">
        <f>LOG10(1.009395)</f>
        <v>4.061149141685645E-3</v>
      </c>
      <c r="D3325">
        <f>LOG10(3.777754)</f>
        <v>0.57723367409376514</v>
      </c>
    </row>
    <row r="3326" spans="1:4">
      <c r="A3326">
        <v>1.0125980000000001</v>
      </c>
      <c r="B3326">
        <v>3.9348399999999999</v>
      </c>
      <c r="C3326">
        <f>LOG10(1.012598)</f>
        <v>5.4370652690509088E-3</v>
      </c>
      <c r="D3326">
        <f>LOG10(3.93484)</f>
        <v>0.59492707760236629</v>
      </c>
    </row>
    <row r="3327" spans="1:4">
      <c r="A3327">
        <v>1.0091159999999999</v>
      </c>
      <c r="B3327">
        <v>3.8380969999999999</v>
      </c>
      <c r="C3327">
        <f>LOG10(1.009116)</f>
        <v>3.9410921677848773E-3</v>
      </c>
      <c r="D3327">
        <f>LOG10(3.838097)</f>
        <v>0.58411594643707887</v>
      </c>
    </row>
    <row r="3328" spans="1:4">
      <c r="A3328">
        <v>1.0063120000000001</v>
      </c>
      <c r="B3328">
        <v>3.7120839999999999</v>
      </c>
      <c r="C3328">
        <f>LOG10(1.006312)</f>
        <v>2.7326515656220024E-3</v>
      </c>
      <c r="D3328">
        <f>LOG10(3.712084)</f>
        <v>0.56961779522024014</v>
      </c>
    </row>
    <row r="3329" spans="1:4">
      <c r="A3329">
        <v>1.0085230000000001</v>
      </c>
      <c r="B3329">
        <v>3.7400359999999999</v>
      </c>
      <c r="C3329">
        <f>LOG10(1.008523)</f>
        <v>3.6858070199620439E-3</v>
      </c>
      <c r="D3329">
        <f>LOG10(3.740036)</f>
        <v>0.572875782555053</v>
      </c>
    </row>
    <row r="3330" spans="1:4">
      <c r="A3330">
        <v>1.0062819999999999</v>
      </c>
      <c r="B3330">
        <v>3.8203619999999998</v>
      </c>
      <c r="C3330">
        <f>LOG10(1.006282)</f>
        <v>2.7197042603451828E-3</v>
      </c>
      <c r="D3330">
        <f>LOG10(3.820362)</f>
        <v>0.58210451661687779</v>
      </c>
    </row>
    <row r="3331" spans="1:4">
      <c r="A3331">
        <v>1.0099070000000001</v>
      </c>
      <c r="B3331">
        <v>3.7839619999999998</v>
      </c>
      <c r="C3331">
        <f>LOG10(1.009907)</f>
        <v>4.2813824495312042E-3</v>
      </c>
      <c r="D3331">
        <f>LOG10(3.783962)</f>
        <v>0.57794676639963416</v>
      </c>
    </row>
    <row r="3332" spans="1:4">
      <c r="A3332">
        <v>1.008057</v>
      </c>
      <c r="B3332">
        <v>3.6669619999999998</v>
      </c>
      <c r="C3332">
        <f>LOG10(1.008057)</f>
        <v>3.48508973409257E-3</v>
      </c>
      <c r="D3332">
        <f>LOG10(3.666962)</f>
        <v>0.56430640947633171</v>
      </c>
    </row>
    <row r="3333" spans="1:4">
      <c r="A3333">
        <v>1.0084360000000001</v>
      </c>
      <c r="B3333">
        <v>3.617121</v>
      </c>
      <c r="C3333">
        <f>LOG10(1.008436)</f>
        <v>3.6483410923462689E-3</v>
      </c>
      <c r="D3333">
        <f>LOG10(3.617121)</f>
        <v>0.55836303703183121</v>
      </c>
    </row>
    <row r="3334" spans="1:4">
      <c r="A3334">
        <v>1.0085059999999999</v>
      </c>
      <c r="B3334">
        <v>3.7052499999999999</v>
      </c>
      <c r="C3334">
        <f>LOG10(1.008506)</f>
        <v>3.6784863456508689E-3</v>
      </c>
      <c r="D3334">
        <f>LOG10(3.70525)</f>
        <v>0.56881751594761765</v>
      </c>
    </row>
    <row r="3335" spans="1:4">
      <c r="A3335">
        <v>1.0069680000000001</v>
      </c>
      <c r="B3335">
        <v>3.5524269999999998</v>
      </c>
      <c r="C3335">
        <f>LOG10(1.006968)</f>
        <v>3.0156695166382373E-3</v>
      </c>
      <c r="D3335">
        <f>LOG10(3.552427)</f>
        <v>0.55052516222993109</v>
      </c>
    </row>
    <row r="3336" spans="1:4">
      <c r="A3336">
        <v>1.0099050000000001</v>
      </c>
      <c r="B3336">
        <v>3.5695709999999998</v>
      </c>
      <c r="C3336">
        <f>LOG10(1.009905)</f>
        <v>4.2805223804120666E-3</v>
      </c>
      <c r="D3336">
        <f>LOG10(3.569571)</f>
        <v>0.55261602464775905</v>
      </c>
    </row>
    <row r="3337" spans="1:4">
      <c r="A3337">
        <v>1.0204359999999999</v>
      </c>
      <c r="B3337">
        <v>3.648298</v>
      </c>
      <c r="C3337">
        <f>LOG10(1.020436)</f>
        <v>8.7857716993737303E-3</v>
      </c>
      <c r="D3337">
        <f>LOG10(3.648298)</f>
        <v>0.56209030511411873</v>
      </c>
    </row>
    <row r="3338" spans="1:4">
      <c r="A3338">
        <v>1.007474</v>
      </c>
      <c r="B3338">
        <v>3.6742029999999999</v>
      </c>
      <c r="C3338">
        <f>LOG10(1.007474)</f>
        <v>3.2338470689973874E-3</v>
      </c>
      <c r="D3338">
        <f>LOG10(3.674203)</f>
        <v>0.56516314743639506</v>
      </c>
    </row>
    <row r="3339" spans="1:4">
      <c r="A3339">
        <v>1.005231</v>
      </c>
      <c r="B3339">
        <v>3.565734</v>
      </c>
      <c r="C3339">
        <f>LOG10(1.005231)</f>
        <v>2.2658731968458489E-3</v>
      </c>
      <c r="D3339">
        <f>LOG10(3.565734)</f>
        <v>0.55214894213686772</v>
      </c>
    </row>
    <row r="3340" spans="1:4">
      <c r="A3340">
        <v>1.0177259999999999</v>
      </c>
      <c r="B3340">
        <v>3.4566750000000002</v>
      </c>
      <c r="C3340">
        <f>LOG10(1.017726)</f>
        <v>7.6308696459219437E-3</v>
      </c>
      <c r="D3340">
        <f>LOG10(3.456675)</f>
        <v>0.53865854866542096</v>
      </c>
    </row>
    <row r="3341" spans="1:4">
      <c r="A3341">
        <v>1.008389</v>
      </c>
      <c r="B3341">
        <v>3.4742169999999999</v>
      </c>
      <c r="C3341">
        <f>LOG10(1.008389)</f>
        <v>3.6280995338042986E-3</v>
      </c>
      <c r="D3341">
        <f>LOG10(3.474217)</f>
        <v>0.54085694104237847</v>
      </c>
    </row>
    <row r="3342" spans="1:4">
      <c r="A3342">
        <v>1.00922</v>
      </c>
      <c r="B3342">
        <v>3.5010020000000002</v>
      </c>
      <c r="C3342">
        <f>LOG10(1.00922)</f>
        <v>3.9858484681808051E-3</v>
      </c>
      <c r="D3342">
        <f>LOG10(3.501002)</f>
        <v>0.54419235886235218</v>
      </c>
    </row>
    <row r="3343" spans="1:4">
      <c r="A3343">
        <v>1.0091270000000001</v>
      </c>
      <c r="B3343">
        <v>3.5147569999999999</v>
      </c>
      <c r="C3343">
        <f>LOG10(1.009127)</f>
        <v>3.9458262253795999E-3</v>
      </c>
      <c r="D3343">
        <f>LOG10(3.514757)</f>
        <v>0.54589530454584023</v>
      </c>
    </row>
    <row r="3344" spans="1:4">
      <c r="A3344">
        <v>1.005582</v>
      </c>
      <c r="B3344">
        <v>3.6623860000000001</v>
      </c>
      <c r="C3344">
        <f>LOG10(1.005582)</f>
        <v>2.417490840750366E-3</v>
      </c>
      <c r="D3344">
        <f>LOG10(3.662386)</f>
        <v>0.56376411518019254</v>
      </c>
    </row>
    <row r="3345" spans="1:4">
      <c r="A3345">
        <v>1.0113209999999999</v>
      </c>
      <c r="B3345">
        <v>3.5209350000000001</v>
      </c>
      <c r="C3345">
        <f>LOG10(1.011321)</f>
        <v>4.8890254245850433E-3</v>
      </c>
      <c r="D3345">
        <f>LOG10(3.520935)</f>
        <v>0.54665800763141936</v>
      </c>
    </row>
    <row r="3346" spans="1:4">
      <c r="A3346">
        <v>1.0135240000000001</v>
      </c>
      <c r="B3346">
        <v>3.6158030000000001</v>
      </c>
      <c r="C3346">
        <f>LOG10(1.013524)</f>
        <v>5.8340371377171053E-3</v>
      </c>
      <c r="D3346">
        <f>LOG10(3.615803)</f>
        <v>0.55820476075698466</v>
      </c>
    </row>
    <row r="3347" spans="1:4">
      <c r="A3347">
        <v>1.0116620000000001</v>
      </c>
      <c r="B3347">
        <v>3.5536590000000001</v>
      </c>
      <c r="C3347">
        <f>LOG10(1.011662)</f>
        <v>5.0354373516567968E-3</v>
      </c>
      <c r="D3347">
        <f>LOG10(3.553659)</f>
        <v>0.55067575168439753</v>
      </c>
    </row>
    <row r="3348" spans="1:4">
      <c r="A3348">
        <v>1.0114289999999999</v>
      </c>
      <c r="B3348">
        <v>3.6023890000000001</v>
      </c>
      <c r="C3348">
        <f>LOG10(1.011429)</f>
        <v>4.9354016985587133E-3</v>
      </c>
      <c r="D3348">
        <f>LOG10(3.602389)</f>
        <v>0.55659060782601932</v>
      </c>
    </row>
    <row r="3349" spans="1:4">
      <c r="A3349">
        <v>1.0093760000000001</v>
      </c>
      <c r="B3349">
        <v>3.5721799999999999</v>
      </c>
      <c r="C3349">
        <f>LOG10(1.009376)</f>
        <v>4.0529742717708289E-3</v>
      </c>
      <c r="D3349">
        <f>LOG10(3.57218)</f>
        <v>0.5529333346054125</v>
      </c>
    </row>
    <row r="3350" spans="1:4">
      <c r="A3350">
        <v>1.0130680000000001</v>
      </c>
      <c r="B3350">
        <v>3.7475450000000001</v>
      </c>
      <c r="C3350">
        <f>LOG10(1.013068)</f>
        <v>5.6385974171517129E-3</v>
      </c>
      <c r="D3350">
        <f>LOG10(3.747545)</f>
        <v>0.57374685649946289</v>
      </c>
    </row>
    <row r="3351" spans="1:4">
      <c r="A3351">
        <v>1.022643</v>
      </c>
      <c r="B3351">
        <v>3.5978479999999999</v>
      </c>
      <c r="C3351">
        <f>LOG10(1.022643)</f>
        <v>9.7240499493887588E-3</v>
      </c>
      <c r="D3351">
        <f>LOG10(3.597848)</f>
        <v>0.5560428115510373</v>
      </c>
    </row>
    <row r="3352" spans="1:4">
      <c r="A3352">
        <v>1.025261</v>
      </c>
      <c r="B3352">
        <v>3.6204890000000001</v>
      </c>
      <c r="C3352">
        <f>LOG10(1.025261)</f>
        <v>1.0834437519311053E-2</v>
      </c>
      <c r="D3352">
        <f>LOG10(3.620489)</f>
        <v>0.55876723231746606</v>
      </c>
    </row>
    <row r="3353" spans="1:4">
      <c r="A3353">
        <v>1.0310079999999999</v>
      </c>
      <c r="B3353">
        <v>3.761279</v>
      </c>
      <c r="C3353">
        <f>LOG10(1.031008)</f>
        <v>1.3262035159729646E-2</v>
      </c>
      <c r="D3353">
        <f>LOG10(3.761279)</f>
        <v>0.5753355492337261</v>
      </c>
    </row>
    <row r="3354" spans="1:4">
      <c r="A3354">
        <v>1.0329109999999999</v>
      </c>
      <c r="B3354">
        <v>3.8001290000000001</v>
      </c>
      <c r="C3354">
        <f>LOG10(1.032911)</f>
        <v>1.4062902474063109E-2</v>
      </c>
      <c r="D3354">
        <f>LOG10(3.800129)</f>
        <v>0.57979833952135063</v>
      </c>
    </row>
    <row r="3355" spans="1:4">
      <c r="A3355">
        <v>1.012246</v>
      </c>
      <c r="B3355">
        <v>4.0314249999999996</v>
      </c>
      <c r="C3355">
        <f>LOG10(1.012246)</f>
        <v>5.2860692820317062E-3</v>
      </c>
      <c r="D3355">
        <f>LOG10(4.031425)</f>
        <v>0.60545858466392843</v>
      </c>
    </row>
    <row r="3356" spans="1:4">
      <c r="A3356">
        <v>1.008032</v>
      </c>
      <c r="B3356">
        <v>4.0162310000000003</v>
      </c>
      <c r="C3356">
        <f>LOG10(1.008032)</f>
        <v>3.4743190170774853E-3</v>
      </c>
      <c r="D3356">
        <f>LOG10(4.016231)</f>
        <v>0.60381868400254379</v>
      </c>
    </row>
    <row r="3357" spans="1:4">
      <c r="A3357">
        <v>1.4533050000000001</v>
      </c>
      <c r="B3357">
        <v>3.9555769999999999</v>
      </c>
      <c r="C3357">
        <f>LOG10(1.453305)</f>
        <v>0.16235676771617055</v>
      </c>
      <c r="D3357">
        <f>LOG10(3.955577)</f>
        <v>0.59720984298882562</v>
      </c>
    </row>
    <row r="3358" spans="1:4">
      <c r="A3358">
        <v>1.013978</v>
      </c>
      <c r="B3358">
        <v>4.3728610000000003</v>
      </c>
      <c r="C3358">
        <f>LOG10(1.013978)</f>
        <v>6.0285323323748226E-3</v>
      </c>
      <c r="D3358">
        <f>LOG10(4.372861)</f>
        <v>0.64076567265873419</v>
      </c>
    </row>
    <row r="3359" spans="1:4">
      <c r="A3359">
        <v>1.0092490000000001</v>
      </c>
      <c r="B3359">
        <v>4.2100439999999999</v>
      </c>
      <c r="C3359">
        <f>LOG10(1.009249)</f>
        <v>3.9983277680621359E-3</v>
      </c>
      <c r="D3359">
        <f>LOG10(4.210044)</f>
        <v>0.62428663475665347</v>
      </c>
    </row>
    <row r="3360" spans="1:4">
      <c r="A3360">
        <v>1.00807</v>
      </c>
      <c r="B3360">
        <v>3.9605220000000001</v>
      </c>
      <c r="C3360">
        <f>LOG10(1.00807)</f>
        <v>3.490690401376762E-3</v>
      </c>
      <c r="D3360">
        <f>LOG10(3.960522)</f>
        <v>0.59775243006166434</v>
      </c>
    </row>
    <row r="3361" spans="1:4">
      <c r="A3361">
        <v>1.0694319999999999</v>
      </c>
      <c r="B3361">
        <v>4.1213129999999998</v>
      </c>
      <c r="C3361">
        <f>LOG10(1.069432)</f>
        <v>2.9153175103293651E-2</v>
      </c>
      <c r="D3361">
        <f>LOG10(4.121313)</f>
        <v>0.61503559899700544</v>
      </c>
    </row>
    <row r="3362" spans="1:4">
      <c r="A3362">
        <v>1.014189</v>
      </c>
      <c r="B3362">
        <v>4.217301</v>
      </c>
      <c r="C3362">
        <f>LOG10(1.014189)</f>
        <v>6.1188958340116896E-3</v>
      </c>
      <c r="D3362">
        <f>LOG10(4.217301)</f>
        <v>0.62503459887446278</v>
      </c>
    </row>
    <row r="3363" spans="1:4">
      <c r="A3363">
        <v>1.012778</v>
      </c>
      <c r="B3363">
        <v>4.1221230000000002</v>
      </c>
      <c r="C3363">
        <f>LOG10(1.012778)</f>
        <v>5.5142588439212837E-3</v>
      </c>
      <c r="D3363">
        <f>LOG10(4.122123)</f>
        <v>0.61512094654661309</v>
      </c>
    </row>
    <row r="3364" spans="1:4">
      <c r="A3364">
        <v>1.014283</v>
      </c>
      <c r="B3364">
        <v>4.0695569999999996</v>
      </c>
      <c r="C3364">
        <f>LOG10(1.014283)</f>
        <v>6.1591465067625528E-3</v>
      </c>
      <c r="D3364">
        <f>LOG10(4.069557)</f>
        <v>0.60954713577884623</v>
      </c>
    </row>
    <row r="3365" spans="1:4">
      <c r="A3365">
        <v>1.0077799999999999</v>
      </c>
      <c r="B3365">
        <v>4.1889029999999998</v>
      </c>
      <c r="C3365">
        <f>LOG10(1.00778)</f>
        <v>3.3657352701707316E-3</v>
      </c>
      <c r="D3365">
        <f>LOG10(4.188903)</f>
        <v>0.62210030377194014</v>
      </c>
    </row>
    <row r="3366" spans="1:4">
      <c r="A3366">
        <v>1.0099830000000001</v>
      </c>
      <c r="B3366">
        <v>3.9503089999999998</v>
      </c>
      <c r="C3366">
        <f>LOG10(1.009983)</f>
        <v>4.3140638140017522E-3</v>
      </c>
      <c r="D3366">
        <f>LOG10(3.950309)</f>
        <v>0.59663106822043765</v>
      </c>
    </row>
    <row r="3367" spans="1:4">
      <c r="A3367">
        <v>1.0140150000000001</v>
      </c>
      <c r="B3367">
        <v>4.2314660000000002</v>
      </c>
      <c r="C3367">
        <f>LOG10(1.014015)</f>
        <v>6.0443794243837511E-3</v>
      </c>
      <c r="D3367">
        <f>LOG10(4.231466)</f>
        <v>0.62649085565138607</v>
      </c>
    </row>
    <row r="3368" spans="1:4">
      <c r="A3368">
        <v>1.015191</v>
      </c>
      <c r="B3368">
        <v>3.9388209999999999</v>
      </c>
      <c r="C3368">
        <f>LOG10(1.015191)</f>
        <v>6.5477589411964028E-3</v>
      </c>
      <c r="D3368">
        <f>LOG10(3.938821)</f>
        <v>0.59536624471402766</v>
      </c>
    </row>
    <row r="3369" spans="1:4">
      <c r="A3369">
        <v>1.0106040000000001</v>
      </c>
      <c r="B3369">
        <v>4.0870870000000004</v>
      </c>
      <c r="C3369">
        <f>LOG10(1.010604)</f>
        <v>4.5810128557934489E-3</v>
      </c>
      <c r="D3369">
        <f>LOG10(4.087087)</f>
        <v>0.61141388244312789</v>
      </c>
    </row>
    <row r="3370" spans="1:4">
      <c r="A3370">
        <v>1.005876</v>
      </c>
      <c r="B3370">
        <v>3.9737420000000001</v>
      </c>
      <c r="C3370">
        <f>LOG10(1.005876)</f>
        <v>2.5444460927007552E-3</v>
      </c>
      <c r="D3370">
        <f>LOG10(3.973742)</f>
        <v>0.59919966659521617</v>
      </c>
    </row>
    <row r="3371" spans="1:4">
      <c r="A3371">
        <v>1.014472</v>
      </c>
      <c r="B3371">
        <v>4.1200089999999996</v>
      </c>
      <c r="C3371">
        <f>LOG10(1.014472)</f>
        <v>6.240064761866961E-3</v>
      </c>
      <c r="D3371">
        <f>LOG10(4.120009)</f>
        <v>0.61489816473363645</v>
      </c>
    </row>
    <row r="3372" spans="1:4">
      <c r="A3372">
        <v>1.0112030000000001</v>
      </c>
      <c r="B3372">
        <v>4.0279179999999997</v>
      </c>
      <c r="C3372">
        <f>LOG10(1.011203)</f>
        <v>4.8383493891731907E-3</v>
      </c>
      <c r="D3372">
        <f>LOG10(4.027918)</f>
        <v>0.60508062064275014</v>
      </c>
    </row>
    <row r="3373" spans="1:4">
      <c r="A3373">
        <v>1.008572</v>
      </c>
      <c r="B3373">
        <v>4.0931550000000003</v>
      </c>
      <c r="C3373">
        <f>LOG10(1.008572)</f>
        <v>3.7069070966737811E-3</v>
      </c>
      <c r="D3373">
        <f>LOG10(4.093155)</f>
        <v>0.61205819086323221</v>
      </c>
    </row>
    <row r="3374" spans="1:4">
      <c r="A3374">
        <v>1.008478</v>
      </c>
      <c r="B3374">
        <v>4.0230829999999997</v>
      </c>
      <c r="C3374">
        <f>LOG10(1.008478)</f>
        <v>3.6664284954209848E-3</v>
      </c>
      <c r="D3374">
        <f>LOG10(4.023083)</f>
        <v>0.60455899256881518</v>
      </c>
    </row>
    <row r="3375" spans="1:4">
      <c r="A3375">
        <v>1.0064679999999999</v>
      </c>
      <c r="B3375">
        <v>3.8754900000000001</v>
      </c>
      <c r="C3375">
        <f>LOG10(1.006468)</f>
        <v>2.7999713316297012E-3</v>
      </c>
      <c r="D3375">
        <f>LOG10(3.87549)</f>
        <v>0.58832662060814678</v>
      </c>
    </row>
    <row r="3376" spans="1:4">
      <c r="A3376">
        <v>1.013852</v>
      </c>
      <c r="B3376">
        <v>3.8536280000000001</v>
      </c>
      <c r="C3376">
        <f>LOG10(1.013852)</f>
        <v>5.9745622216749493E-3</v>
      </c>
      <c r="D3376">
        <f>LOG10(3.853628)</f>
        <v>0.58586978884958807</v>
      </c>
    </row>
    <row r="3377" spans="1:4">
      <c r="A3377">
        <v>1.010086</v>
      </c>
      <c r="B3377">
        <v>3.8777710000000001</v>
      </c>
      <c r="C3377">
        <f>LOG10(1.010086)</f>
        <v>4.3583517384981774E-3</v>
      </c>
      <c r="D3377">
        <f>LOG10(3.877771)</f>
        <v>0.5885821584371459</v>
      </c>
    </row>
    <row r="3378" spans="1:4">
      <c r="A3378">
        <v>1.0102979999999999</v>
      </c>
      <c r="B3378">
        <v>3.8320270000000001</v>
      </c>
      <c r="C3378">
        <f>LOG10(1.010298)</f>
        <v>4.4494932546667353E-3</v>
      </c>
      <c r="D3378">
        <f>LOG10(3.832027)</f>
        <v>0.5834285604038193</v>
      </c>
    </row>
    <row r="3379" spans="1:4">
      <c r="A3379">
        <v>1.007795</v>
      </c>
      <c r="B3379">
        <v>3.9843259999999998</v>
      </c>
      <c r="C3379">
        <f>LOG10(1.007795)</f>
        <v>3.3721993483903081E-3</v>
      </c>
      <c r="D3379">
        <f>LOG10(3.984326)</f>
        <v>0.60035486544665639</v>
      </c>
    </row>
    <row r="3380" spans="1:4">
      <c r="A3380">
        <v>1.010459</v>
      </c>
      <c r="B3380">
        <v>3.9536859999999998</v>
      </c>
      <c r="C3380">
        <f>LOG10(1.010459)</f>
        <v>4.5186964411304282E-3</v>
      </c>
      <c r="D3380">
        <f>LOG10(3.953686)</f>
        <v>0.59700217487084106</v>
      </c>
    </row>
    <row r="3381" spans="1:4">
      <c r="A3381">
        <v>1.010313</v>
      </c>
      <c r="B3381">
        <v>3.9549810000000001</v>
      </c>
      <c r="C3381">
        <f>LOG10(1.010313)</f>
        <v>4.4559412223643393E-3</v>
      </c>
      <c r="D3381">
        <f>LOG10(3.954981)</f>
        <v>0.59714440145822711</v>
      </c>
    </row>
    <row r="3382" spans="1:4">
      <c r="A3382">
        <v>1.006302</v>
      </c>
      <c r="B3382">
        <v>3.8535810000000001</v>
      </c>
      <c r="C3382">
        <f>LOG10(1.006302)</f>
        <v>2.7283358400838746E-3</v>
      </c>
      <c r="D3382">
        <f>LOG10(3.853581)</f>
        <v>0.58586449203185553</v>
      </c>
    </row>
    <row r="3383" spans="1:4">
      <c r="A3383">
        <v>1.009504</v>
      </c>
      <c r="B3383">
        <v>3.9022730000000001</v>
      </c>
      <c r="C3383">
        <f>LOG10(1.009504)</f>
        <v>4.1080441062910193E-3</v>
      </c>
      <c r="D3383">
        <f>LOG10(3.902273)</f>
        <v>0.59131764902728357</v>
      </c>
    </row>
    <row r="3384" spans="1:4">
      <c r="A3384">
        <v>1.0078929999999999</v>
      </c>
      <c r="B3384">
        <v>3.8230209999999998</v>
      </c>
      <c r="C3384">
        <f>LOG10(1.007893)</f>
        <v>3.4144289585879418E-3</v>
      </c>
      <c r="D3384">
        <f>LOG10(3.823021)</f>
        <v>0.58240668362171477</v>
      </c>
    </row>
    <row r="3385" spans="1:4">
      <c r="A3385">
        <v>1.0088839999999999</v>
      </c>
      <c r="B3385">
        <v>3.923683</v>
      </c>
      <c r="C3385">
        <f>LOG10(1.008884)</f>
        <v>3.84123456595588E-3</v>
      </c>
      <c r="D3385">
        <f>LOG10(3.923683)</f>
        <v>0.59369391284859718</v>
      </c>
    </row>
    <row r="3386" spans="1:4">
      <c r="A3386">
        <v>1.012462</v>
      </c>
      <c r="B3386">
        <v>3.9935749999999999</v>
      </c>
      <c r="C3386">
        <f>LOG10(1.012462)</f>
        <v>5.3787321336102806E-3</v>
      </c>
      <c r="D3386">
        <f>LOG10(3.993575)</f>
        <v>0.60136184496738498</v>
      </c>
    </row>
    <row r="3387" spans="1:4">
      <c r="A3387">
        <v>1.0171749999999999</v>
      </c>
      <c r="B3387">
        <v>3.708078</v>
      </c>
      <c r="C3387">
        <f>LOG10(1.017175)</f>
        <v>7.3956775993535839E-3</v>
      </c>
      <c r="D3387">
        <f>LOG10(3.708078)</f>
        <v>0.5691488610208153</v>
      </c>
    </row>
    <row r="3388" spans="1:4">
      <c r="A3388">
        <v>1.0048349999999999</v>
      </c>
      <c r="B3388">
        <v>3.8318539999999999</v>
      </c>
      <c r="C3388">
        <f>LOG10(1.004835)</f>
        <v>2.094753823592727E-3</v>
      </c>
      <c r="D3388">
        <f>LOG10(3.831854)</f>
        <v>0.58340895338085486</v>
      </c>
    </row>
    <row r="3389" spans="1:4">
      <c r="A3389">
        <v>1.0103880000000001</v>
      </c>
      <c r="B3389">
        <v>3.8609249999999999</v>
      </c>
      <c r="C3389">
        <f>LOG10(1.010388)</f>
        <v>4.48817962493624E-3</v>
      </c>
      <c r="D3389">
        <f>LOG10(3.860925)</f>
        <v>0.58669136536336441</v>
      </c>
    </row>
    <row r="3390" spans="1:4">
      <c r="A3390">
        <v>1.0120439999999999</v>
      </c>
      <c r="B3390">
        <v>3.8214130000000002</v>
      </c>
      <c r="C3390">
        <f>LOG10(1.012044)</f>
        <v>5.1993944620843079E-3</v>
      </c>
      <c r="D3390">
        <f>LOG10(3.821413)</f>
        <v>0.58222397669084192</v>
      </c>
    </row>
    <row r="3391" spans="1:4">
      <c r="A3391">
        <v>1.015698</v>
      </c>
      <c r="B3391">
        <v>3.7097709999999999</v>
      </c>
      <c r="C3391">
        <f>LOG10(1.015698)</f>
        <v>6.7645972882445747E-3</v>
      </c>
      <c r="D3391">
        <f>LOG10(3.709771)</f>
        <v>0.56934710193152371</v>
      </c>
    </row>
    <row r="3392" spans="1:4">
      <c r="A3392">
        <v>1.0137400000000001</v>
      </c>
      <c r="B3392">
        <v>3.6589330000000002</v>
      </c>
      <c r="C3392">
        <f>LOG10(1.01374)</f>
        <v>5.9265831588037323E-3</v>
      </c>
      <c r="D3392">
        <f>LOG10(3.658933)</f>
        <v>0.56335445704148723</v>
      </c>
    </row>
    <row r="3393" spans="1:4">
      <c r="A3393">
        <v>1.0110950000000001</v>
      </c>
      <c r="B3393">
        <v>3.7686470000000001</v>
      </c>
      <c r="C3393">
        <f>LOG10(1.011095)</f>
        <v>4.7919627497262441E-3</v>
      </c>
      <c r="D3393">
        <f>LOG10(3.768647)</f>
        <v>0.57618546004663718</v>
      </c>
    </row>
    <row r="3394" spans="1:4">
      <c r="A3394">
        <v>1.016659</v>
      </c>
      <c r="B3394">
        <v>3.719973</v>
      </c>
      <c r="C3394">
        <f>LOG10(1.016659)</f>
        <v>7.1753096072064903E-3</v>
      </c>
      <c r="D3394">
        <f>LOG10(3.719973)</f>
        <v>0.57053978773308955</v>
      </c>
    </row>
    <row r="3395" spans="1:4">
      <c r="A3395">
        <v>1.0185010000000001</v>
      </c>
      <c r="B3395">
        <v>3.7827809999999999</v>
      </c>
      <c r="C3395">
        <f>LOG10(1.018501)</f>
        <v>7.9614597419450685E-3</v>
      </c>
      <c r="D3395">
        <f>LOG10(3.782781)</f>
        <v>0.5778111990129019</v>
      </c>
    </row>
    <row r="3396" spans="1:4">
      <c r="A3396">
        <v>1.0126550000000001</v>
      </c>
      <c r="B3396">
        <v>3.7748979999999999</v>
      </c>
      <c r="C3396">
        <f>LOG10(1.012655)</f>
        <v>5.4615113856348717E-3</v>
      </c>
      <c r="D3396">
        <f>LOG10(3.774898)</f>
        <v>0.57690522122729215</v>
      </c>
    </row>
    <row r="3397" spans="1:4">
      <c r="A3397">
        <v>1.0203310000000001</v>
      </c>
      <c r="B3397">
        <v>3.9471029999999998</v>
      </c>
      <c r="C3397">
        <f>LOG10(1.020331)</f>
        <v>8.7410817169896633E-3</v>
      </c>
      <c r="D3397">
        <f>LOG10(3.947103)</f>
        <v>0.59627845949609393</v>
      </c>
    </row>
    <row r="3398" spans="1:4">
      <c r="A3398">
        <v>1.012651</v>
      </c>
      <c r="B3398">
        <v>3.7602850000000001</v>
      </c>
      <c r="C3398">
        <f>LOG10(1.012651)</f>
        <v>5.4597959135751781E-3</v>
      </c>
      <c r="D3398">
        <f>LOG10(3.760285)</f>
        <v>0.57522076227784169</v>
      </c>
    </row>
    <row r="3399" spans="1:4">
      <c r="A3399">
        <v>1.014057</v>
      </c>
      <c r="B3399">
        <v>3.86476</v>
      </c>
      <c r="C3399">
        <f>LOG10(1.014057)</f>
        <v>6.0623673145991782E-3</v>
      </c>
      <c r="D3399">
        <f>LOG10(3.86476)</f>
        <v>0.58712252958372768</v>
      </c>
    </row>
    <row r="3400" spans="1:4">
      <c r="A3400">
        <v>1.015228</v>
      </c>
      <c r="B3400">
        <v>3.7560319999999998</v>
      </c>
      <c r="C3400">
        <f>LOG10(1.015228)</f>
        <v>6.5635870986675716E-3</v>
      </c>
      <c r="D3400">
        <f>LOG10(3.756032)</f>
        <v>0.57472928363779541</v>
      </c>
    </row>
    <row r="3401" spans="1:4">
      <c r="A3401">
        <v>1.014157</v>
      </c>
      <c r="B3401">
        <v>3.8797069999999998</v>
      </c>
      <c r="C3401">
        <f>LOG10(1.014157)</f>
        <v>6.1051926261545776E-3</v>
      </c>
      <c r="D3401">
        <f>LOG10(3.879707)</f>
        <v>0.58879892840656645</v>
      </c>
    </row>
    <row r="3402" spans="1:4">
      <c r="A3402">
        <v>1.0086999999999999</v>
      </c>
      <c r="B3402">
        <v>4.2117399999999998</v>
      </c>
      <c r="C3402">
        <f>LOG10(1.0087)</f>
        <v>3.7620208282461019E-3</v>
      </c>
      <c r="D3402">
        <f>LOG10(4.21174)</f>
        <v>0.62446155338464604</v>
      </c>
    </row>
    <row r="3403" spans="1:4">
      <c r="A3403">
        <v>1.007287</v>
      </c>
      <c r="B3403">
        <v>4.0049479999999997</v>
      </c>
      <c r="C3403">
        <f>LOG10(1.007287)</f>
        <v>3.1532290022896364E-3</v>
      </c>
      <c r="D3403">
        <f>LOG10(4.004948)</f>
        <v>0.60259688160385982</v>
      </c>
    </row>
    <row r="3404" spans="1:4">
      <c r="A3404">
        <v>1.0142800000000001</v>
      </c>
      <c r="B3404">
        <v>3.9968300000000001</v>
      </c>
      <c r="C3404">
        <f>LOG10(1.01428)</f>
        <v>6.1578619684507525E-3</v>
      </c>
      <c r="D3404">
        <f>LOG10(3.99683)</f>
        <v>0.60171567649827495</v>
      </c>
    </row>
    <row r="3405" spans="1:4">
      <c r="A3405">
        <v>1.0085379999999999</v>
      </c>
      <c r="B3405">
        <v>4.1059729999999997</v>
      </c>
      <c r="C3405">
        <f>LOG10(1.008538)</f>
        <v>3.6922663359952382E-3</v>
      </c>
      <c r="D3405">
        <f>LOG10(4.105973)</f>
        <v>0.61341608921636437</v>
      </c>
    </row>
    <row r="3406" spans="1:4">
      <c r="A3406">
        <v>1.007984</v>
      </c>
      <c r="B3406">
        <v>4.1664469999999998</v>
      </c>
      <c r="C3406">
        <f>LOG10(1.007984)</f>
        <v>3.4536384915902709E-3</v>
      </c>
      <c r="D3406">
        <f>LOG10(4.166447)</f>
        <v>0.61976586167974812</v>
      </c>
    </row>
    <row r="3407" spans="1:4">
      <c r="A3407">
        <v>1.0051620000000001</v>
      </c>
      <c r="B3407">
        <v>4.1216059999999999</v>
      </c>
      <c r="C3407">
        <f>LOG10(1.005162)</f>
        <v>2.2360617925452604E-3</v>
      </c>
      <c r="D3407">
        <f>LOG10(4.121606)</f>
        <v>0.615066473565408</v>
      </c>
    </row>
    <row r="3408" spans="1:4">
      <c r="A3408">
        <v>1.006645</v>
      </c>
      <c r="B3408">
        <v>3.894171</v>
      </c>
      <c r="C3408">
        <f>LOG10(1.006645)</f>
        <v>2.8763407391045911E-3</v>
      </c>
      <c r="D3408">
        <f>LOG10(3.894171)</f>
        <v>0.59041501824868703</v>
      </c>
    </row>
    <row r="3409" spans="1:4">
      <c r="A3409">
        <v>1.01742</v>
      </c>
      <c r="B3409">
        <v>3.4406669999999999</v>
      </c>
      <c r="C3409">
        <f>LOG10(1.01742)</f>
        <v>7.5002705513470824E-3</v>
      </c>
      <c r="D3409">
        <f>LOG10(3.440667)</f>
        <v>0.53664264208891321</v>
      </c>
    </row>
    <row r="3410" spans="1:4">
      <c r="A3410">
        <v>1.0217309999999999</v>
      </c>
      <c r="B3410">
        <v>4.2881130000000001</v>
      </c>
      <c r="C3410">
        <f>LOG10(1.021731)</f>
        <v>9.3365703651543466E-3</v>
      </c>
      <c r="D3410">
        <f>LOG10(4.288113)</f>
        <v>0.63226622132786559</v>
      </c>
    </row>
    <row r="3411" spans="1:4">
      <c r="A3411">
        <v>1.0238389999999999</v>
      </c>
      <c r="B3411">
        <v>4.2004299999999999</v>
      </c>
      <c r="C3411">
        <f>LOG10(1.023839)</f>
        <v>1.0231668642825363E-2</v>
      </c>
      <c r="D3411">
        <f>LOG10(4.20043)</f>
        <v>0.62329375160461997</v>
      </c>
    </row>
    <row r="3412" spans="1:4">
      <c r="A3412">
        <v>1.0201210000000001</v>
      </c>
      <c r="B3412">
        <v>4.1029340000000003</v>
      </c>
      <c r="C3412">
        <f>LOG10(1.020121)</f>
        <v>8.6516879537237683E-3</v>
      </c>
      <c r="D3412">
        <f>LOG10(4.102934)</f>
        <v>0.61309453094050637</v>
      </c>
    </row>
    <row r="3413" spans="1:4">
      <c r="A3413">
        <v>1.0125580000000001</v>
      </c>
      <c r="B3413">
        <v>4.1569500000000001</v>
      </c>
      <c r="C3413">
        <f>LOG10(1.012558)</f>
        <v>5.4199092778300781E-3</v>
      </c>
      <c r="D3413">
        <f>LOG10(4.15695)</f>
        <v>0.61877480082214276</v>
      </c>
    </row>
    <row r="3414" spans="1:4">
      <c r="A3414">
        <v>1.008672</v>
      </c>
      <c r="B3414">
        <v>4.3348570000000004</v>
      </c>
      <c r="C3414">
        <f>LOG10(1.008672)</f>
        <v>3.7499652970956394E-3</v>
      </c>
      <c r="D3414">
        <f>LOG10(4.334857)</f>
        <v>0.63697477536810954</v>
      </c>
    </row>
    <row r="3415" spans="1:4">
      <c r="A3415">
        <v>1.002956</v>
      </c>
      <c r="B3415">
        <v>3.9797400000000001</v>
      </c>
      <c r="C3415">
        <f>LOG10(1.002956)</f>
        <v>1.2818808007215496E-3</v>
      </c>
      <c r="D3415">
        <f>LOG10(3.97974)</f>
        <v>0.59985470015065145</v>
      </c>
    </row>
    <row r="3416" spans="1:4">
      <c r="A3416">
        <v>1.005787</v>
      </c>
      <c r="B3416">
        <v>4.2201360000000001</v>
      </c>
      <c r="C3416">
        <f>LOG10(1.005787)</f>
        <v>2.5060179773408655E-3</v>
      </c>
      <c r="D3416">
        <f>LOG10(4.220136)</f>
        <v>0.62532644695641704</v>
      </c>
    </row>
    <row r="3417" spans="1:4">
      <c r="A3417">
        <v>1.0091650000000001</v>
      </c>
      <c r="B3417">
        <v>4.1017510000000001</v>
      </c>
      <c r="C3417">
        <f>LOG10(1.009165)</f>
        <v>3.9621798454843871E-3</v>
      </c>
      <c r="D3417">
        <f>LOG10(4.101751)</f>
        <v>0.61296929264661648</v>
      </c>
    </row>
    <row r="3418" spans="1:4">
      <c r="A3418">
        <v>1.0076050000000001</v>
      </c>
      <c r="B3418">
        <v>4.1901089999999996</v>
      </c>
      <c r="C3418">
        <f>LOG10(1.007605)</f>
        <v>3.2903139144257985E-3</v>
      </c>
      <c r="D3418">
        <f>LOG10(4.190109)</f>
        <v>0.62222532069488812</v>
      </c>
    </row>
    <row r="3419" spans="1:4">
      <c r="A3419">
        <v>1.0123059999999999</v>
      </c>
      <c r="B3419">
        <v>4.0831169999999997</v>
      </c>
      <c r="C3419">
        <f>LOG10(1.012306)</f>
        <v>5.311810946283157E-3</v>
      </c>
      <c r="D3419">
        <f>LOG10(4.083117)</f>
        <v>0.61099182462698209</v>
      </c>
    </row>
    <row r="3420" spans="1:4">
      <c r="A3420">
        <v>1.0113380000000001</v>
      </c>
      <c r="B3420">
        <v>4.2031049999999999</v>
      </c>
      <c r="C3420">
        <f>LOG10(1.011338)</f>
        <v>4.8963257220574269E-3</v>
      </c>
      <c r="D3420">
        <f>LOG10(4.203105)</f>
        <v>0.62357023948224044</v>
      </c>
    </row>
    <row r="3421" spans="1:4">
      <c r="A3421">
        <v>1.012877</v>
      </c>
      <c r="B3421">
        <v>4.1630539999999998</v>
      </c>
      <c r="C3421">
        <f>LOG10(1.012877)</f>
        <v>5.5567094623559981E-3</v>
      </c>
      <c r="D3421">
        <f>LOG10(4.163054)</f>
        <v>0.61941204426413066</v>
      </c>
    </row>
    <row r="3422" spans="1:4">
      <c r="A3422">
        <v>1.011109</v>
      </c>
      <c r="B3422">
        <v>4.1367820000000002</v>
      </c>
      <c r="C3422">
        <f>LOG10(1.011109)</f>
        <v>4.7979761121236331E-3</v>
      </c>
      <c r="D3422">
        <f>LOG10(4.136782)</f>
        <v>0.6166626350623885</v>
      </c>
    </row>
    <row r="3423" spans="1:4">
      <c r="A3423">
        <v>1.0073259999999999</v>
      </c>
      <c r="B3423">
        <v>4.087491</v>
      </c>
      <c r="C3423">
        <f>LOG10(1.007326)</f>
        <v>3.1700436310012543E-3</v>
      </c>
      <c r="D3423">
        <f>LOG10(4.087491)</f>
        <v>0.61145680942255898</v>
      </c>
    </row>
    <row r="3424" spans="1:4">
      <c r="A3424">
        <v>1.0042709999999999</v>
      </c>
      <c r="B3424">
        <v>3.9936950000000002</v>
      </c>
      <c r="C3424">
        <f>LOG10(1.004271)</f>
        <v>1.8509218961308214E-3</v>
      </c>
      <c r="D3424">
        <f>LOG10(3.993695)</f>
        <v>0.60137489456701854</v>
      </c>
    </row>
    <row r="3425" spans="1:4">
      <c r="A3425">
        <v>1.0147010000000001</v>
      </c>
      <c r="B3425">
        <v>3.896757</v>
      </c>
      <c r="C3425">
        <f>LOG10(1.014701)</f>
        <v>6.3380883771802657E-3</v>
      </c>
      <c r="D3425">
        <f>LOG10(3.896757)</f>
        <v>0.59070332423006611</v>
      </c>
    </row>
    <row r="3426" spans="1:4">
      <c r="A3426">
        <v>1.0059940000000001</v>
      </c>
      <c r="B3426">
        <v>3.9188260000000001</v>
      </c>
      <c r="C3426">
        <f>LOG10(1.005994)</f>
        <v>2.5953904866460641E-3</v>
      </c>
      <c r="D3426">
        <f>LOG10(3.918826)</f>
        <v>0.59315598077397935</v>
      </c>
    </row>
    <row r="3427" spans="1:4">
      <c r="A3427">
        <v>1.006373</v>
      </c>
      <c r="B3427">
        <v>3.9367580000000002</v>
      </c>
      <c r="C3427">
        <f>LOG10(1.006373)</f>
        <v>2.7589765627319845E-3</v>
      </c>
      <c r="D3427">
        <f>LOG10(3.936758)</f>
        <v>0.59513871870313784</v>
      </c>
    </row>
    <row r="3428" spans="1:4">
      <c r="A3428">
        <v>1.0052140000000001</v>
      </c>
      <c r="B3428">
        <v>4.0111179999999997</v>
      </c>
      <c r="C3428">
        <f>LOG10(1.005214)</f>
        <v>2.2585285480815182E-3</v>
      </c>
      <c r="D3428">
        <f>LOG10(4.011118)</f>
        <v>0.60326543834541213</v>
      </c>
    </row>
    <row r="3429" spans="1:4">
      <c r="A3429">
        <v>1.0059709999999999</v>
      </c>
      <c r="B3429">
        <v>3.9681609999999998</v>
      </c>
      <c r="C3429">
        <f>LOG10(1.005971)</f>
        <v>2.5854611160215694E-3</v>
      </c>
      <c r="D3429">
        <f>LOG10(3.968161)</f>
        <v>0.59858928444814619</v>
      </c>
    </row>
    <row r="3430" spans="1:4">
      <c r="A3430">
        <v>1.0042390000000001</v>
      </c>
      <c r="B3430">
        <v>3.912115</v>
      </c>
      <c r="C3430">
        <f>LOG10(1.004239)</f>
        <v>1.837083355698364E-3</v>
      </c>
      <c r="D3430">
        <f>LOG10(3.912115)</f>
        <v>0.59241161276467946</v>
      </c>
    </row>
    <row r="3431" spans="1:4">
      <c r="A3431">
        <v>1.0072380000000001</v>
      </c>
      <c r="B3431">
        <v>3.7956539999999999</v>
      </c>
      <c r="C3431">
        <f>LOG10(1.007238)</f>
        <v>3.132102007472058E-3</v>
      </c>
      <c r="D3431">
        <f>LOG10(3.795654)</f>
        <v>0.57928661662685255</v>
      </c>
    </row>
    <row r="3432" spans="1:4">
      <c r="A3432">
        <v>1.0073780000000001</v>
      </c>
      <c r="B3432">
        <v>3.8742169999999998</v>
      </c>
      <c r="C3432">
        <f>LOG10(1.007378)</f>
        <v>3.1924621233098563E-3</v>
      </c>
      <c r="D3432">
        <f>LOG10(3.874217)</f>
        <v>0.58818394247065453</v>
      </c>
    </row>
    <row r="3433" spans="1:4">
      <c r="A3433">
        <v>1.00701</v>
      </c>
      <c r="B3433">
        <v>3.7337850000000001</v>
      </c>
      <c r="C3433">
        <f>LOG10(1.00701)</f>
        <v>3.0337832877345718E-3</v>
      </c>
      <c r="D3433">
        <f>LOG10(3.733785)</f>
        <v>0.5721493066495128</v>
      </c>
    </row>
    <row r="3434" spans="1:4">
      <c r="A3434">
        <v>1.0060290000000001</v>
      </c>
      <c r="B3434">
        <v>3.6547269999999998</v>
      </c>
      <c r="C3434">
        <f>LOG10(1.006029)</f>
        <v>2.6104999628977278E-3</v>
      </c>
      <c r="D3434">
        <f>LOG10(3.654727)</f>
        <v>0.56285494167100014</v>
      </c>
    </row>
    <row r="3435" spans="1:4">
      <c r="A3435">
        <v>1.007628</v>
      </c>
      <c r="B3435">
        <v>3.8574760000000001</v>
      </c>
      <c r="C3435">
        <f>LOG10(1.007628)</f>
        <v>3.3002271830991068E-3</v>
      </c>
      <c r="D3435">
        <f>LOG10(3.857476)</f>
        <v>0.58630323270019169</v>
      </c>
    </row>
    <row r="3436" spans="1:4">
      <c r="A3436">
        <v>1.0086919999999999</v>
      </c>
      <c r="B3436">
        <v>3.5491069999999998</v>
      </c>
      <c r="C3436">
        <f>LOG10(1.008692)</f>
        <v>3.7585764249221595E-3</v>
      </c>
      <c r="D3436">
        <f>LOG10(3.549107)</f>
        <v>0.55011909284127136</v>
      </c>
    </row>
    <row r="3437" spans="1:4">
      <c r="A3437">
        <v>1.006818</v>
      </c>
      <c r="B3437">
        <v>3.773101</v>
      </c>
      <c r="C3437">
        <f>LOG10(1.006818)</f>
        <v>2.9509713089776344E-3</v>
      </c>
      <c r="D3437">
        <f>LOG10(3.773101)</f>
        <v>0.57669843073918403</v>
      </c>
    </row>
    <row r="3438" spans="1:4">
      <c r="A3438">
        <v>1.0103260000000001</v>
      </c>
      <c r="B3438">
        <v>3.7599840000000002</v>
      </c>
      <c r="C3438">
        <f>LOG10(1.010326)</f>
        <v>4.4615293835993126E-3</v>
      </c>
      <c r="D3438">
        <f>LOG10(3.759984)</f>
        <v>0.57518599686210392</v>
      </c>
    </row>
    <row r="3439" spans="1:4">
      <c r="A3439">
        <v>1.012605</v>
      </c>
      <c r="B3439">
        <v>3.5952000000000002</v>
      </c>
      <c r="C3439">
        <f>LOG10(1.012605)</f>
        <v>5.4400674978381247E-3</v>
      </c>
      <c r="D3439">
        <f>LOG10(3.5952)</f>
        <v>0.55572305507505371</v>
      </c>
    </row>
    <row r="3440" spans="1:4">
      <c r="A3440">
        <v>1.0129280000000001</v>
      </c>
      <c r="B3440">
        <v>3.5121159999999998</v>
      </c>
      <c r="C3440">
        <f>LOG10(1.012928)</f>
        <v>5.5785763435037446E-3</v>
      </c>
      <c r="D3440">
        <f>LOG10(3.512116)</f>
        <v>0.54556885157573165</v>
      </c>
    </row>
    <row r="3441" spans="1:4">
      <c r="A3441">
        <v>1.011109</v>
      </c>
      <c r="B3441">
        <v>3.6470950000000002</v>
      </c>
      <c r="C3441">
        <f>LOG10(1.011109)</f>
        <v>4.7979761121236331E-3</v>
      </c>
      <c r="D3441">
        <f>LOG10(3.647095)</f>
        <v>0.56194707601968474</v>
      </c>
    </row>
    <row r="3442" spans="1:4">
      <c r="A3442">
        <v>1.01014</v>
      </c>
      <c r="B3442">
        <v>3.595987</v>
      </c>
      <c r="C3442">
        <f>LOG10(1.01014)</f>
        <v>4.3815688459191886E-3</v>
      </c>
      <c r="D3442">
        <f>LOG10(3.595987)</f>
        <v>0.55581811302824624</v>
      </c>
    </row>
    <row r="3443" spans="1:4">
      <c r="A3443">
        <v>1.0080769999999999</v>
      </c>
      <c r="B3443">
        <v>3.6685680000000001</v>
      </c>
      <c r="C3443">
        <f>LOG10(1.008077)</f>
        <v>3.4937061153830101E-3</v>
      </c>
      <c r="D3443">
        <f>LOG10(3.668568)</f>
        <v>0.56449657349967586</v>
      </c>
    </row>
    <row r="3444" spans="1:4">
      <c r="A3444">
        <v>1.013112</v>
      </c>
      <c r="B3444">
        <v>3.7149040000000002</v>
      </c>
      <c r="C3444">
        <f>LOG10(1.013112)</f>
        <v>5.657459470085527E-3</v>
      </c>
      <c r="D3444">
        <f>LOG10(3.714904)</f>
        <v>0.56994759526780248</v>
      </c>
    </row>
    <row r="3445" spans="1:4">
      <c r="A3445">
        <v>1.0128809999999999</v>
      </c>
      <c r="B3445">
        <v>3.6764230000000002</v>
      </c>
      <c r="C3445">
        <f>LOG10(1.012881)</f>
        <v>5.5584245516485681E-3</v>
      </c>
      <c r="D3445">
        <f>LOG10(3.676423)</f>
        <v>0.56542547442164481</v>
      </c>
    </row>
    <row r="3446" spans="1:4">
      <c r="A3446">
        <v>1.011109</v>
      </c>
      <c r="B3446">
        <v>3.7799109999999998</v>
      </c>
      <c r="C3446">
        <f>LOG10(1.011109)</f>
        <v>4.7979761121236331E-3</v>
      </c>
      <c r="D3446">
        <f>LOG10(3.779911)</f>
        <v>0.57748157426475732</v>
      </c>
    </row>
    <row r="3447" spans="1:4">
      <c r="A3447">
        <v>1.006912</v>
      </c>
      <c r="B3447">
        <v>3.7102879999999998</v>
      </c>
      <c r="C3447">
        <f>LOG10(1.006912)</f>
        <v>2.9915166465636798E-3</v>
      </c>
      <c r="D3447">
        <f>LOG10(3.710288)</f>
        <v>0.56940762173264858</v>
      </c>
    </row>
    <row r="3448" spans="1:4">
      <c r="A3448">
        <v>1.008213</v>
      </c>
      <c r="B3448">
        <v>3.7865199999999999</v>
      </c>
      <c r="C3448">
        <f>LOG10(1.008213)</f>
        <v>3.5522929750395811E-3</v>
      </c>
      <c r="D3448">
        <f>LOG10(3.78652)</f>
        <v>0.57824025506442112</v>
      </c>
    </row>
    <row r="3449" spans="1:4">
      <c r="A3449">
        <v>1.010556</v>
      </c>
      <c r="B3449">
        <v>3.6807379999999998</v>
      </c>
      <c r="C3449">
        <f>LOG10(1.010556)</f>
        <v>4.5603849637559099E-3</v>
      </c>
      <c r="D3449">
        <f>LOG10(3.680738)</f>
        <v>0.56593490486751574</v>
      </c>
    </row>
    <row r="3450" spans="1:4">
      <c r="A3450">
        <v>1.0115940000000001</v>
      </c>
      <c r="B3450">
        <v>3.9514710000000002</v>
      </c>
      <c r="C3450">
        <f>LOG10(1.011594)</f>
        <v>5.0062447781213451E-3</v>
      </c>
      <c r="D3450">
        <f>LOG10(3.951471)</f>
        <v>0.59675879898277462</v>
      </c>
    </row>
    <row r="3451" spans="1:4">
      <c r="A3451">
        <v>1.0086139999999999</v>
      </c>
      <c r="B3451">
        <v>4.3064159999999996</v>
      </c>
      <c r="C3451">
        <f>LOG10(1.008614)</f>
        <v>3.7249920608193958E-3</v>
      </c>
      <c r="D3451">
        <f>LOG10(4.306416)</f>
        <v>0.63411598038249717</v>
      </c>
    </row>
    <row r="3452" spans="1:4">
      <c r="A3452">
        <v>1.0206200000000001</v>
      </c>
      <c r="B3452">
        <v>4.1112140000000004</v>
      </c>
      <c r="C3452">
        <f>LOG10(1.02062)</f>
        <v>8.8640744846836417E-3</v>
      </c>
      <c r="D3452">
        <f>LOG10(4.111214)</f>
        <v>0.61397008359139804</v>
      </c>
    </row>
    <row r="3453" spans="1:4">
      <c r="A3453">
        <v>1.0167109999999999</v>
      </c>
      <c r="B3453">
        <v>4.0675460000000001</v>
      </c>
      <c r="C3453">
        <f>LOG10(1.016711)</f>
        <v>7.1975223014666264E-3</v>
      </c>
      <c r="D3453">
        <f>LOG10(4.067546)</f>
        <v>0.6093324730860209</v>
      </c>
    </row>
    <row r="3454" spans="1:4">
      <c r="A3454">
        <v>1.013204</v>
      </c>
      <c r="B3454">
        <v>4.2419060000000002</v>
      </c>
      <c r="C3454">
        <f>LOG10(1.013204)</f>
        <v>5.6968956610473961E-3</v>
      </c>
      <c r="D3454">
        <f>LOG10(4.241906)</f>
        <v>0.62756104038666782</v>
      </c>
    </row>
    <row r="3455" spans="1:4">
      <c r="A3455">
        <v>1.018683</v>
      </c>
      <c r="B3455">
        <v>4.2453599999999998</v>
      </c>
      <c r="C3455">
        <f>LOG10(1.018683)</f>
        <v>8.039058619529655E-3</v>
      </c>
      <c r="D3455">
        <f>LOG10(4.24536)</f>
        <v>0.6279145236457776</v>
      </c>
    </row>
    <row r="3456" spans="1:4">
      <c r="A3456">
        <v>1.0486089999999999</v>
      </c>
      <c r="B3456">
        <v>4.2223629999999996</v>
      </c>
      <c r="C3456">
        <f>LOG10(1.048609)</f>
        <v>2.061358085583101E-2</v>
      </c>
      <c r="D3456">
        <f>LOG10(4.222363)</f>
        <v>0.62555556722841976</v>
      </c>
    </row>
    <row r="3457" spans="1:4">
      <c r="A3457">
        <v>1.0132589999999999</v>
      </c>
      <c r="B3457">
        <v>4.5935889999999997</v>
      </c>
      <c r="C3457">
        <f>LOG10(1.013259)</f>
        <v>5.7204699345579481E-3</v>
      </c>
      <c r="D3457">
        <f>LOG10(4.593589)</f>
        <v>0.66215213517397797</v>
      </c>
    </row>
    <row r="3458" spans="1:4">
      <c r="A3458">
        <v>1.01203</v>
      </c>
      <c r="B3458">
        <v>4.5005699999999997</v>
      </c>
      <c r="C3458">
        <f>LOG10(1.01203)</f>
        <v>5.1933866553077529E-3</v>
      </c>
      <c r="D3458">
        <f>LOG10(4.50057)</f>
        <v>0.65326752092600537</v>
      </c>
    </row>
    <row r="3459" spans="1:4">
      <c r="A3459">
        <v>1.0121549999999999</v>
      </c>
      <c r="B3459">
        <v>4.4916510000000001</v>
      </c>
      <c r="C3459">
        <f>LOG10(1.012155)</f>
        <v>5.2470248457961556E-3</v>
      </c>
      <c r="D3459">
        <f>LOG10(4.491651)</f>
        <v>0.65240600434310292</v>
      </c>
    </row>
    <row r="3460" spans="1:4">
      <c r="A3460">
        <v>1.0134179999999999</v>
      </c>
      <c r="B3460">
        <v>4.0574050000000002</v>
      </c>
      <c r="C3460">
        <f>LOG10(1.013418)</f>
        <v>5.7886138201048787E-3</v>
      </c>
      <c r="D3460">
        <f>LOG10(4.057405)</f>
        <v>0.60824836005494631</v>
      </c>
    </row>
    <row r="3461" spans="1:4">
      <c r="A3461">
        <v>1.0092350000000001</v>
      </c>
      <c r="B3461">
        <v>4.5472770000000002</v>
      </c>
      <c r="C3461">
        <f>LOG10(1.009235)</f>
        <v>3.9923033232345086E-3</v>
      </c>
      <c r="D3461">
        <f>LOG10(4.547277)</f>
        <v>0.65775141030965056</v>
      </c>
    </row>
    <row r="3462" spans="1:4">
      <c r="A3462">
        <v>1.0122629999999999</v>
      </c>
      <c r="B3462">
        <v>4.2879659999999999</v>
      </c>
      <c r="C3462">
        <f>LOG10(1.012263)</f>
        <v>5.2933629084789087E-3</v>
      </c>
      <c r="D3462">
        <f>LOG10(4.287966)</f>
        <v>0.63225133310474024</v>
      </c>
    </row>
    <row r="3463" spans="1:4">
      <c r="A3463">
        <v>1.0091289999999999</v>
      </c>
      <c r="B3463">
        <v>4.1977010000000003</v>
      </c>
      <c r="C3463">
        <f>LOG10(1.009129)</f>
        <v>3.946686957579811E-3</v>
      </c>
      <c r="D3463">
        <f>LOG10(4.197701)</f>
        <v>0.62301150078409095</v>
      </c>
    </row>
    <row r="3464" spans="1:4">
      <c r="A3464">
        <v>1.0083230000000001</v>
      </c>
      <c r="B3464">
        <v>4.3204690000000001</v>
      </c>
      <c r="C3464">
        <f>LOG10(1.008323)</f>
        <v>3.5996736248834374E-3</v>
      </c>
      <c r="D3464">
        <f>LOG10(4.320469)</f>
        <v>0.63553089335573354</v>
      </c>
    </row>
    <row r="3465" spans="1:4">
      <c r="A3465">
        <v>1.0104900000000001</v>
      </c>
      <c r="B3465">
        <v>4.1468819999999997</v>
      </c>
      <c r="C3465">
        <f>LOG10(1.01049)</f>
        <v>4.5320200123240674E-3</v>
      </c>
      <c r="D3465">
        <f>LOG10(4.146882)</f>
        <v>0.61772167764085084</v>
      </c>
    </row>
    <row r="3466" spans="1:4">
      <c r="A3466">
        <v>1.0134399999999999</v>
      </c>
      <c r="B3466">
        <v>4.303172</v>
      </c>
      <c r="C3466">
        <f>LOG10(1.01344)</f>
        <v>5.7980416918178776E-3</v>
      </c>
      <c r="D3466">
        <f>LOG10(4.303172)</f>
        <v>0.63378870540349341</v>
      </c>
    </row>
    <row r="3467" spans="1:4">
      <c r="A3467">
        <v>1.0059640000000001</v>
      </c>
      <c r="B3467">
        <v>4.1565519999999996</v>
      </c>
      <c r="C3467">
        <f>LOG10(1.005964)</f>
        <v>2.5824390885969481E-3</v>
      </c>
      <c r="D3467">
        <f>LOG10(4.156552)</f>
        <v>0.61873321805619652</v>
      </c>
    </row>
    <row r="3468" spans="1:4">
      <c r="A3468">
        <v>1.012092</v>
      </c>
      <c r="B3468">
        <v>4.1805279999999998</v>
      </c>
      <c r="C3468">
        <f>LOG10(1.012092)</f>
        <v>5.2199920258204253E-3</v>
      </c>
      <c r="D3468">
        <f>LOG10(4.180528)</f>
        <v>0.62123113656094098</v>
      </c>
    </row>
    <row r="3469" spans="1:4">
      <c r="A3469">
        <v>1.0111650000000001</v>
      </c>
      <c r="B3469">
        <v>4.4249910000000003</v>
      </c>
      <c r="C3469">
        <f>LOG10(1.011165)</f>
        <v>4.8220287291209571E-3</v>
      </c>
      <c r="D3469">
        <f>LOG10(4.424991)</f>
        <v>0.64591239172213533</v>
      </c>
    </row>
    <row r="3470" spans="1:4">
      <c r="A3470">
        <v>1.0058469999999999</v>
      </c>
      <c r="B3470">
        <v>3.9979469999999999</v>
      </c>
      <c r="C3470">
        <f>LOG10(1.005847)</f>
        <v>2.531924945429395E-3</v>
      </c>
      <c r="D3470">
        <f>LOG10(3.997947)</f>
        <v>0.60183703246341125</v>
      </c>
    </row>
    <row r="3471" spans="1:4">
      <c r="A3471">
        <v>1.0094609999999999</v>
      </c>
      <c r="B3471">
        <v>4.2498480000000001</v>
      </c>
      <c r="C3471">
        <f>LOG10(1.009461)</f>
        <v>4.08954486264423E-3</v>
      </c>
      <c r="D3471">
        <f>LOG10(4.249848)</f>
        <v>0.62837339735813724</v>
      </c>
    </row>
    <row r="3472" spans="1:4">
      <c r="A3472">
        <v>1.008022</v>
      </c>
      <c r="B3472">
        <v>3.8295680000000001</v>
      </c>
      <c r="C3472">
        <f>LOG10(1.008022)</f>
        <v>3.4700106554769561E-3</v>
      </c>
      <c r="D3472">
        <f>LOG10(3.829568)</f>
        <v>0.58314978550964414</v>
      </c>
    </row>
    <row r="3473" spans="1:4">
      <c r="A3473">
        <v>1.004874</v>
      </c>
      <c r="B3473">
        <v>4.0575270000000003</v>
      </c>
      <c r="C3473">
        <f>LOG10(1.004874)</f>
        <v>2.1116094825925189E-3</v>
      </c>
      <c r="D3473">
        <f>LOG10(4.057527)</f>
        <v>0.60826141843345061</v>
      </c>
    </row>
    <row r="3474" spans="1:4">
      <c r="A3474">
        <v>1.0043770000000001</v>
      </c>
      <c r="B3474">
        <v>3.9841570000000002</v>
      </c>
      <c r="C3474">
        <f>LOG10(1.004377)</f>
        <v>1.8967589119987572E-3</v>
      </c>
      <c r="D3474">
        <f>LOG10(3.984157)</f>
        <v>0.60033644393092933</v>
      </c>
    </row>
    <row r="3475" spans="1:4">
      <c r="A3475">
        <v>1.007978</v>
      </c>
      <c r="B3475">
        <v>4.2433259999999997</v>
      </c>
      <c r="C3475">
        <f>LOG10(1.007978)</f>
        <v>3.4510533566607378E-3</v>
      </c>
      <c r="D3475">
        <f>LOG10(4.243326)</f>
        <v>0.62770639838514308</v>
      </c>
    </row>
    <row r="3476" spans="1:4">
      <c r="A3476">
        <v>1.0091950000000001</v>
      </c>
      <c r="B3476">
        <v>3.9551889999999998</v>
      </c>
      <c r="C3476">
        <f>LOG10(1.009195)</f>
        <v>3.975090163225569E-3</v>
      </c>
      <c r="D3476">
        <f>LOG10(3.955189)</f>
        <v>0.59716724123341702</v>
      </c>
    </row>
    <row r="3477" spans="1:4">
      <c r="A3477">
        <v>1.0097799999999999</v>
      </c>
      <c r="B3477">
        <v>4.1167809999999996</v>
      </c>
      <c r="C3477">
        <f>LOG10(1.00978)</f>
        <v>4.2267646802684423E-3</v>
      </c>
      <c r="D3477">
        <f>LOG10(4.116781)</f>
        <v>0.6145577644904946</v>
      </c>
    </row>
    <row r="3478" spans="1:4">
      <c r="A3478">
        <v>1.0043709999999999</v>
      </c>
      <c r="B3478">
        <v>3.6843249999999999</v>
      </c>
      <c r="C3478">
        <f>LOG10(1.004371)</f>
        <v>1.8941644930955378E-3</v>
      </c>
      <c r="D3478">
        <f>LOG10(3.684325)</f>
        <v>0.5663579330017644</v>
      </c>
    </row>
    <row r="3479" spans="1:4">
      <c r="A3479">
        <v>1.006623</v>
      </c>
      <c r="B3479">
        <v>3.8460830000000001</v>
      </c>
      <c r="C3479">
        <f>LOG10(1.006623)</f>
        <v>2.8668492271923794E-3</v>
      </c>
      <c r="D3479">
        <f>LOG10(3.846083)</f>
        <v>0.58501865225114724</v>
      </c>
    </row>
    <row r="3480" spans="1:4">
      <c r="A3480">
        <v>1.008761</v>
      </c>
      <c r="B3480">
        <v>3.768316</v>
      </c>
      <c r="C3480">
        <f>LOG10(1.008761)</f>
        <v>3.788283505347875E-3</v>
      </c>
      <c r="D3480">
        <f>LOG10(3.768316)</f>
        <v>0.57614731431775346</v>
      </c>
    </row>
    <row r="3481" spans="1:4">
      <c r="A3481">
        <v>1.00756</v>
      </c>
      <c r="B3481">
        <v>3.7927590000000002</v>
      </c>
      <c r="C3481">
        <f>LOG10(1.00756)</f>
        <v>3.270917734272882E-3</v>
      </c>
      <c r="D3481">
        <f>LOG10(3.792759)</f>
        <v>0.57895524758141281</v>
      </c>
    </row>
    <row r="3482" spans="1:4">
      <c r="A3482">
        <v>1.0097240000000001</v>
      </c>
      <c r="B3482">
        <v>3.822603</v>
      </c>
      <c r="C3482">
        <f>LOG10(1.009724)</f>
        <v>4.2026790721263014E-3</v>
      </c>
      <c r="D3482">
        <f>LOG10(3.822603)</f>
        <v>0.58235919630253286</v>
      </c>
    </row>
    <row r="3483" spans="1:4">
      <c r="A3483">
        <v>1.014025</v>
      </c>
      <c r="B3483">
        <v>4.1242390000000002</v>
      </c>
      <c r="C3483">
        <f>LOG10(1.014025)</f>
        <v>6.048662322964647E-3</v>
      </c>
      <c r="D3483">
        <f>LOG10(4.124239)</f>
        <v>0.61534382474281069</v>
      </c>
    </row>
    <row r="3484" spans="1:4">
      <c r="A3484">
        <v>1.008405</v>
      </c>
      <c r="B3484">
        <v>3.7168160000000001</v>
      </c>
      <c r="C3484">
        <f>LOG10(1.008405)</f>
        <v>3.6349903830537557E-3</v>
      </c>
      <c r="D3484">
        <f>LOG10(3.716816)</f>
        <v>0.57017106199359946</v>
      </c>
    </row>
    <row r="3485" spans="1:4">
      <c r="A3485">
        <v>1.0088710000000001</v>
      </c>
      <c r="B3485">
        <v>3.847245</v>
      </c>
      <c r="C3485">
        <f>LOG10(1.008871)</f>
        <v>3.8356384174990637E-3</v>
      </c>
      <c r="D3485">
        <f>LOG10(3.847245)</f>
        <v>0.58514984389975733</v>
      </c>
    </row>
    <row r="3486" spans="1:4">
      <c r="A3486">
        <v>1.008621</v>
      </c>
      <c r="B3486">
        <v>3.7397649999999998</v>
      </c>
      <c r="C3486">
        <f>LOG10(1.008621)</f>
        <v>3.7280061482939581E-3</v>
      </c>
      <c r="D3486">
        <f>LOG10(3.739765)</f>
        <v>0.5728443127860986</v>
      </c>
    </row>
    <row r="3487" spans="1:4">
      <c r="A3487">
        <v>1.01573</v>
      </c>
      <c r="B3487">
        <v>3.9182410000000001</v>
      </c>
      <c r="C3487">
        <f>LOG10(1.01573)</f>
        <v>6.7782797061516509E-3</v>
      </c>
      <c r="D3487">
        <f>LOG10(3.918241)</f>
        <v>0.59309114471416635</v>
      </c>
    </row>
    <row r="3488" spans="1:4">
      <c r="A3488">
        <v>1.005123</v>
      </c>
      <c r="B3488">
        <v>3.7828789999999999</v>
      </c>
      <c r="C3488">
        <f>LOG10(1.005123)</f>
        <v>2.2192109631390768E-3</v>
      </c>
      <c r="D3488">
        <f>LOG10(3.782879)</f>
        <v>0.57782245007605537</v>
      </c>
    </row>
    <row r="3489" spans="1:4">
      <c r="A3489">
        <v>1.0101530000000001</v>
      </c>
      <c r="B3489">
        <v>3.7612009999999998</v>
      </c>
      <c r="C3489">
        <f>LOG10(1.010153)</f>
        <v>4.3871579641954371E-3</v>
      </c>
      <c r="D3489">
        <f>LOG10(3.761201)</f>
        <v>0.57532654290347607</v>
      </c>
    </row>
    <row r="3490" spans="1:4">
      <c r="A3490">
        <v>1.015863</v>
      </c>
      <c r="B3490">
        <v>3.7636590000000001</v>
      </c>
      <c r="C3490">
        <f>LOG10(1.015863)</f>
        <v>6.8351426370395034E-3</v>
      </c>
      <c r="D3490">
        <f>LOG10(3.763659)</f>
        <v>0.57561026801583315</v>
      </c>
    </row>
    <row r="3491" spans="1:4">
      <c r="A3491">
        <v>1.0139469999999999</v>
      </c>
      <c r="B3491">
        <v>3.856897</v>
      </c>
      <c r="C3491">
        <f>LOG10(1.013947)</f>
        <v>6.0152545938587541E-3</v>
      </c>
      <c r="D3491">
        <f>LOG10(3.856897)</f>
        <v>0.58623804101047328</v>
      </c>
    </row>
    <row r="3492" spans="1:4">
      <c r="A3492">
        <v>1.0130300000000001</v>
      </c>
      <c r="B3492">
        <v>3.847899</v>
      </c>
      <c r="C3492">
        <f>LOG10(1.01303)</f>
        <v>5.6223068030607348E-3</v>
      </c>
      <c r="D3492">
        <f>LOG10(3.847899)</f>
        <v>0.58522366411464832</v>
      </c>
    </row>
    <row r="3493" spans="1:4">
      <c r="A3493">
        <v>1.0170859999999999</v>
      </c>
      <c r="B3493">
        <v>3.8444569999999998</v>
      </c>
      <c r="C3493">
        <f>LOG10(1.017086)</f>
        <v>7.3576763704905684E-3</v>
      </c>
      <c r="D3493">
        <f>LOG10(3.844457)</f>
        <v>0.58483500771172681</v>
      </c>
    </row>
    <row r="3494" spans="1:4">
      <c r="A3494">
        <v>1.0143660000000001</v>
      </c>
      <c r="B3494">
        <v>4.0391159999999999</v>
      </c>
      <c r="C3494">
        <f>LOG10(1.014366)</f>
        <v>6.1946838934845601E-3</v>
      </c>
      <c r="D3494">
        <f>LOG10(4.039116)</f>
        <v>0.60628632591979881</v>
      </c>
    </row>
    <row r="3495" spans="1:4">
      <c r="A3495">
        <v>1.0131760000000001</v>
      </c>
      <c r="B3495">
        <v>3.7754500000000002</v>
      </c>
      <c r="C3495">
        <f>LOG10(1.013176)</f>
        <v>5.6848937211407356E-3</v>
      </c>
      <c r="D3495">
        <f>LOG10(3.77545)</f>
        <v>0.57696872308295177</v>
      </c>
    </row>
    <row r="3496" spans="1:4">
      <c r="A3496">
        <v>1.009933</v>
      </c>
      <c r="B3496">
        <v>3.8124440000000002</v>
      </c>
      <c r="C3496">
        <f>LOG10(1.009933)</f>
        <v>4.2925631930851955E-3</v>
      </c>
      <c r="D3496">
        <f>LOG10(3.812444)</f>
        <v>0.58120347316281484</v>
      </c>
    </row>
    <row r="3497" spans="1:4">
      <c r="A3497">
        <v>1.005549</v>
      </c>
      <c r="B3497">
        <v>4.099996</v>
      </c>
      <c r="C3497">
        <f>LOG10(1.005549)</f>
        <v>2.403238444557307E-3</v>
      </c>
      <c r="D3497">
        <f>LOG10(4.099996)</f>
        <v>0.61278343301759519</v>
      </c>
    </row>
    <row r="3498" spans="1:4">
      <c r="A3498">
        <v>1.0159119999999999</v>
      </c>
      <c r="B3498">
        <v>3.9677660000000001</v>
      </c>
      <c r="C3498">
        <f>LOG10(1.015912)</f>
        <v>6.8560902612768036E-3</v>
      </c>
      <c r="D3498">
        <f>LOG10(3.967766)</f>
        <v>0.59854605161082464</v>
      </c>
    </row>
    <row r="3499" spans="1:4">
      <c r="A3499">
        <v>1.016222</v>
      </c>
      <c r="B3499">
        <v>3.91805</v>
      </c>
      <c r="C3499">
        <f>LOG10(1.016222)</f>
        <v>6.9885926360555989E-3</v>
      </c>
      <c r="D3499">
        <f>LOG10(3.91805)</f>
        <v>0.59306997392148908</v>
      </c>
    </row>
    <row r="3500" spans="1:4">
      <c r="A3500">
        <v>1.0114730000000001</v>
      </c>
      <c r="B3500">
        <v>3.9562740000000001</v>
      </c>
      <c r="C3500">
        <f>LOG10(1.011473)</f>
        <v>4.9542943163986526E-3</v>
      </c>
      <c r="D3500">
        <f>LOG10(3.956274)</f>
        <v>0.5972863619360782</v>
      </c>
    </row>
    <row r="3501" spans="1:4">
      <c r="A3501">
        <v>1.118922</v>
      </c>
      <c r="B3501">
        <v>4.0268350000000002</v>
      </c>
      <c r="C3501">
        <f>LOG10(1.118922)</f>
        <v>4.8799812935613404E-2</v>
      </c>
      <c r="D3501">
        <f>LOG10(4.026835)</f>
        <v>0.60496383470859794</v>
      </c>
    </row>
    <row r="3502" spans="1:4">
      <c r="A3502">
        <v>1.006934</v>
      </c>
      <c r="B3502">
        <v>3.920318</v>
      </c>
      <c r="C3502">
        <f>LOG10(1.006934)</f>
        <v>3.0010054342884981E-3</v>
      </c>
      <c r="D3502">
        <f>LOG10(3.920318)</f>
        <v>0.593321296623471</v>
      </c>
    </row>
    <row r="3503" spans="1:4">
      <c r="A3503">
        <v>1.00658</v>
      </c>
      <c r="B3503">
        <v>4.0077109999999996</v>
      </c>
      <c r="C3503">
        <f>LOG10(1.00658)</f>
        <v>2.8482970367528795E-3</v>
      </c>
      <c r="D3503">
        <f>LOG10(4.007711)</f>
        <v>0.60289639658410787</v>
      </c>
    </row>
    <row r="3504" spans="1:4">
      <c r="A3504">
        <v>1.0087459999999999</v>
      </c>
      <c r="B3504">
        <v>4.1081570000000003</v>
      </c>
      <c r="C3504">
        <f>LOG10(1.008746)</f>
        <v>3.7818256172426922E-3</v>
      </c>
      <c r="D3504">
        <f>LOG10(4.108157)</f>
        <v>0.61364703252279551</v>
      </c>
    </row>
    <row r="3505" spans="1:4">
      <c r="A3505">
        <v>1.02349</v>
      </c>
      <c r="B3505">
        <v>4.193943</v>
      </c>
      <c r="C3505">
        <f>LOG10(1.02349)</f>
        <v>1.0083603748856359E-2</v>
      </c>
      <c r="D3505">
        <f>LOG10(4.193943)</f>
        <v>0.6226225236606342</v>
      </c>
    </row>
    <row r="3506" spans="1:4">
      <c r="A3506">
        <v>1.0222359999999999</v>
      </c>
      <c r="B3506">
        <v>4.6093979999999997</v>
      </c>
      <c r="C3506">
        <f>LOG10(1.022236)</f>
        <v>9.5511714011042893E-3</v>
      </c>
      <c r="D3506">
        <f>LOG10(4.609398)</f>
        <v>0.66364420904472465</v>
      </c>
    </row>
    <row r="3507" spans="1:4">
      <c r="A3507">
        <v>1.007252</v>
      </c>
      <c r="B3507">
        <v>4.4744510000000002</v>
      </c>
      <c r="C3507">
        <f>LOG10(1.007252)</f>
        <v>3.1381383965796987E-3</v>
      </c>
      <c r="D3507">
        <f>LOG10(4.474451)</f>
        <v>0.65073975645704785</v>
      </c>
    </row>
    <row r="3508" spans="1:4">
      <c r="A3508">
        <v>1.0083230000000001</v>
      </c>
      <c r="B3508">
        <v>4.5113320000000003</v>
      </c>
      <c r="C3508">
        <f>LOG10(1.008323)</f>
        <v>3.5996736248834374E-3</v>
      </c>
      <c r="D3508">
        <f>LOG10(4.511332)</f>
        <v>0.65430478907119072</v>
      </c>
    </row>
    <row r="3509" spans="1:4">
      <c r="A3509">
        <v>1.010016</v>
      </c>
      <c r="B3509">
        <v>4.1749499999999999</v>
      </c>
      <c r="C3509">
        <f>LOG10(1.010016)</f>
        <v>4.3282536407334097E-3</v>
      </c>
      <c r="D3509">
        <f>LOG10(4.17495)</f>
        <v>0.62065127865695635</v>
      </c>
    </row>
    <row r="3510" spans="1:4">
      <c r="A3510">
        <v>1.0125249999999999</v>
      </c>
      <c r="B3510">
        <v>4.7722629999999997</v>
      </c>
      <c r="C3510">
        <f>LOG10(1.012525)</f>
        <v>5.405755074862446E-3</v>
      </c>
      <c r="D3510">
        <f>LOG10(4.772263)</f>
        <v>0.67872436968006422</v>
      </c>
    </row>
    <row r="3511" spans="1:4">
      <c r="A3511">
        <v>1.0101199999999999</v>
      </c>
      <c r="B3511">
        <v>4.3131000000000004</v>
      </c>
      <c r="C3511">
        <f>LOG10(1.01012)</f>
        <v>4.3729700619622664E-3</v>
      </c>
      <c r="D3511">
        <f>LOG10(4.3131)</f>
        <v>0.63478952745843187</v>
      </c>
    </row>
    <row r="3512" spans="1:4">
      <c r="A3512">
        <v>1.0048029999999999</v>
      </c>
      <c r="B3512">
        <v>4.3396109999999997</v>
      </c>
      <c r="C3512">
        <f>LOG10(1.004803)</f>
        <v>2.0809230506653714E-3</v>
      </c>
      <c r="D3512">
        <f>LOG10(4.339611)</f>
        <v>0.63745080137308752</v>
      </c>
    </row>
    <row r="3513" spans="1:4">
      <c r="A3513">
        <v>1.0085489999999999</v>
      </c>
      <c r="B3513">
        <v>4.3706670000000001</v>
      </c>
      <c r="C3513">
        <f>LOG10(1.008549)</f>
        <v>3.6970031066957342E-3</v>
      </c>
      <c r="D3513">
        <f>LOG10(4.370667)</f>
        <v>0.64054771896468887</v>
      </c>
    </row>
    <row r="3514" spans="1:4">
      <c r="A3514">
        <v>1.0050589999999999</v>
      </c>
      <c r="B3514">
        <v>4.1799010000000001</v>
      </c>
      <c r="C3514">
        <f>LOG10(1.005059)</f>
        <v>2.1915569031074702E-3</v>
      </c>
      <c r="D3514">
        <f>LOG10(4.179901)</f>
        <v>0.6211659957312865</v>
      </c>
    </row>
    <row r="3515" spans="1:4">
      <c r="A3515">
        <v>1.0050399999999999</v>
      </c>
      <c r="B3515">
        <v>4.1884940000000004</v>
      </c>
      <c r="C3515">
        <f>LOG10(1.00504)</f>
        <v>2.183346765043222E-3</v>
      </c>
      <c r="D3515">
        <f>LOG10(4.188494)</f>
        <v>0.622057897653849</v>
      </c>
    </row>
    <row r="3516" spans="1:4">
      <c r="A3516">
        <v>1.0042979999999999</v>
      </c>
      <c r="B3516">
        <v>4.1126110000000002</v>
      </c>
      <c r="C3516">
        <f>LOG10(1.004298)</f>
        <v>1.8625978216400708E-3</v>
      </c>
      <c r="D3516">
        <f>LOG10(4.112611)</f>
        <v>0.61411763279071951</v>
      </c>
    </row>
    <row r="3517" spans="1:4">
      <c r="A3517">
        <v>1.486313</v>
      </c>
      <c r="B3517">
        <v>4.2015349999999998</v>
      </c>
      <c r="C3517">
        <f>LOG10(1.486313)</f>
        <v>0.17211027635508377</v>
      </c>
      <c r="D3517">
        <f>LOG10(4.201535)</f>
        <v>0.62340798569278144</v>
      </c>
    </row>
    <row r="3518" spans="1:4">
      <c r="A3518">
        <v>1.0072019999999999</v>
      </c>
      <c r="B3518">
        <v>4.4868610000000002</v>
      </c>
      <c r="C3518">
        <f>LOG10(1.007202)</f>
        <v>3.1165794787789769E-3</v>
      </c>
      <c r="D3518">
        <f>LOG10(4.486861)</f>
        <v>0.65194261558432487</v>
      </c>
    </row>
    <row r="3519" spans="1:4">
      <c r="A3519">
        <v>1.0090030000000001</v>
      </c>
      <c r="B3519">
        <v>3.9733350000000001</v>
      </c>
      <c r="C3519">
        <f>LOG10(1.009003)</f>
        <v>3.8924574970778769E-3</v>
      </c>
      <c r="D3519">
        <f>LOG10(3.973335)</f>
        <v>0.59915518285502112</v>
      </c>
    </row>
    <row r="3520" spans="1:4">
      <c r="A3520">
        <v>1.0135339999999999</v>
      </c>
      <c r="B3520">
        <v>4.112139</v>
      </c>
      <c r="C3520">
        <f>LOG10(1.013534)</f>
        <v>5.8383221111307912E-3</v>
      </c>
      <c r="D3520">
        <f>LOG10(4.112139)</f>
        <v>0.61406778641345972</v>
      </c>
    </row>
    <row r="3521" spans="1:4">
      <c r="A3521">
        <v>1.014022</v>
      </c>
      <c r="B3521">
        <v>3.9741650000000002</v>
      </c>
      <c r="C3521">
        <f>LOG10(1.014022)</f>
        <v>6.0473774578252296E-3</v>
      </c>
      <c r="D3521">
        <f>LOG10(3.974165)</f>
        <v>0.59924589425389885</v>
      </c>
    </row>
    <row r="3522" spans="1:4">
      <c r="A3522">
        <v>1.007123</v>
      </c>
      <c r="B3522">
        <v>4.1466630000000002</v>
      </c>
      <c r="C3522">
        <f>LOG10(1.007123)</f>
        <v>3.0825142071987484E-3</v>
      </c>
      <c r="D3522">
        <f>LOG10(4.146663)</f>
        <v>0.61769874161251581</v>
      </c>
    </row>
    <row r="3523" spans="1:4">
      <c r="A3523">
        <v>1.005908</v>
      </c>
      <c r="B3523">
        <v>4.1053569999999997</v>
      </c>
      <c r="C3523">
        <f>LOG10(1.005908)</f>
        <v>2.5582621121363306E-3</v>
      </c>
      <c r="D3523">
        <f>LOG10(4.105357)</f>
        <v>0.61335092915061262</v>
      </c>
    </row>
    <row r="3524" spans="1:4">
      <c r="A3524">
        <v>1.074516</v>
      </c>
      <c r="B3524">
        <v>4.1685939999999997</v>
      </c>
      <c r="C3524">
        <f>LOG10(1.074516)</f>
        <v>3.1212886705056883E-2</v>
      </c>
      <c r="D3524">
        <f>LOG10(4.168594)</f>
        <v>0.61998959909706108</v>
      </c>
    </row>
    <row r="3525" spans="1:4">
      <c r="A3525">
        <v>1.0081530000000001</v>
      </c>
      <c r="B3525">
        <v>3.8536049999999999</v>
      </c>
      <c r="C3525">
        <f>LOG10(1.008153)</f>
        <v>3.5264468053244958E-3</v>
      </c>
      <c r="D3525">
        <f>LOG10(3.853605)</f>
        <v>0.58586719679791821</v>
      </c>
    </row>
    <row r="3526" spans="1:4">
      <c r="A3526">
        <v>1.0064439999999999</v>
      </c>
      <c r="B3526">
        <v>3.9354140000000002</v>
      </c>
      <c r="C3526">
        <f>LOG10(1.006444)</f>
        <v>2.7896151237416442E-3</v>
      </c>
      <c r="D3526">
        <f>LOG10(3.935414)</f>
        <v>0.59499042626507903</v>
      </c>
    </row>
    <row r="3527" spans="1:4">
      <c r="A3527">
        <v>1.0092159999999999</v>
      </c>
      <c r="B3527">
        <v>3.7611870000000001</v>
      </c>
      <c r="C3527">
        <f>LOG10(1.009216)</f>
        <v>3.9841271572968679E-3</v>
      </c>
      <c r="D3527">
        <f>LOG10(3.761187)</f>
        <v>0.57532492636289179</v>
      </c>
    </row>
    <row r="3528" spans="1:4">
      <c r="A3528">
        <v>1.0100789999999999</v>
      </c>
      <c r="B3528">
        <v>3.7660480000000001</v>
      </c>
      <c r="C3528">
        <f>LOG10(1.010079)</f>
        <v>4.3553420225854933E-3</v>
      </c>
      <c r="D3528">
        <f>LOG10(3.766048)</f>
        <v>0.57588585099723766</v>
      </c>
    </row>
    <row r="3529" spans="1:4">
      <c r="A3529">
        <v>1.005201</v>
      </c>
      <c r="B3529">
        <v>3.6540279999999998</v>
      </c>
      <c r="C3529">
        <f>LOG10(1.005201)</f>
        <v>2.2529119681566384E-3</v>
      </c>
      <c r="D3529">
        <f>LOG10(3.654028)</f>
        <v>0.5627718709308327</v>
      </c>
    </row>
    <row r="3530" spans="1:4">
      <c r="A3530">
        <v>1.0062</v>
      </c>
      <c r="B3530">
        <v>3.6875990000000001</v>
      </c>
      <c r="C3530">
        <f>LOG10(1.0062)</f>
        <v>2.6843129897293583E-3</v>
      </c>
      <c r="D3530">
        <f>LOG10(3.687599)</f>
        <v>0.56674368853240609</v>
      </c>
    </row>
    <row r="3531" spans="1:4">
      <c r="A3531">
        <v>1.012867</v>
      </c>
      <c r="B3531">
        <v>3.7569880000000002</v>
      </c>
      <c r="C3531">
        <f>LOG10(1.012867)</f>
        <v>5.5524217094917701E-3</v>
      </c>
      <c r="D3531">
        <f>LOG10(3.756988)</f>
        <v>0.57483980790817946</v>
      </c>
    </row>
    <row r="3532" spans="1:4">
      <c r="A3532">
        <v>1.0133799999999999</v>
      </c>
      <c r="B3532">
        <v>3.9131209999999998</v>
      </c>
      <c r="C3532">
        <f>LOG10(1.01338)</f>
        <v>5.7723288323416689E-3</v>
      </c>
      <c r="D3532">
        <f>LOG10(3.913121)</f>
        <v>0.592523277192743</v>
      </c>
    </row>
    <row r="3533" spans="1:4">
      <c r="A3533">
        <v>1.009636</v>
      </c>
      <c r="B3533">
        <v>3.651818</v>
      </c>
      <c r="C3533">
        <f>LOG10(1.009636)</f>
        <v>4.1648275603287837E-3</v>
      </c>
      <c r="D3533">
        <f>LOG10(3.651818)</f>
        <v>0.56250912495061878</v>
      </c>
    </row>
    <row r="3534" spans="1:4">
      <c r="A3534">
        <v>1.0080260000000001</v>
      </c>
      <c r="B3534">
        <v>3.6683910000000002</v>
      </c>
      <c r="C3534">
        <f>LOG10(1.008026)</f>
        <v>3.4717340052460737E-3</v>
      </c>
      <c r="D3534">
        <f>LOG10(3.668391)</f>
        <v>0.56447561928054724</v>
      </c>
    </row>
    <row r="3535" spans="1:4">
      <c r="A3535">
        <v>1.0056890000000001</v>
      </c>
      <c r="B3535">
        <v>3.6195889999999999</v>
      </c>
      <c r="C3535">
        <f>LOG10(1.005689)</f>
        <v>2.4636999389847885E-3</v>
      </c>
      <c r="D3535">
        <f>LOG10(3.619589)</f>
        <v>0.5586592597139316</v>
      </c>
    </row>
    <row r="3536" spans="1:4">
      <c r="A3536">
        <v>1.0097119999999999</v>
      </c>
      <c r="B3536">
        <v>3.7233459999999998</v>
      </c>
      <c r="C3536">
        <f>LOG10(1.009712)</f>
        <v>4.1975176965908011E-3</v>
      </c>
      <c r="D3536">
        <f>LOG10(3.723346)</f>
        <v>0.57093339585004155</v>
      </c>
    </row>
    <row r="3537" spans="1:4">
      <c r="A3537">
        <v>1.0054689999999999</v>
      </c>
      <c r="B3537">
        <v>3.6415229999999998</v>
      </c>
      <c r="C3537">
        <f>LOG10(1.005469)</f>
        <v>2.368685239592834E-3</v>
      </c>
      <c r="D3537">
        <f>LOG10(3.641523)</f>
        <v>0.56128305731968342</v>
      </c>
    </row>
    <row r="3538" spans="1:4">
      <c r="A3538">
        <v>1.006561</v>
      </c>
      <c r="B3538">
        <v>3.586824</v>
      </c>
      <c r="C3538">
        <f>LOG10(1.006561)</f>
        <v>2.8400993047943105E-3</v>
      </c>
      <c r="D3538">
        <f>LOG10(3.586824)</f>
        <v>0.5547100670288857</v>
      </c>
    </row>
    <row r="3539" spans="1:4">
      <c r="A3539">
        <v>1.0101599999999999</v>
      </c>
      <c r="B3539">
        <v>3.5757590000000001</v>
      </c>
      <c r="C3539">
        <f>LOG10(1.01016)</f>
        <v>4.3901674596283505E-3</v>
      </c>
      <c r="D3539">
        <f>LOG10(3.575759)</f>
        <v>0.55336824040990384</v>
      </c>
    </row>
    <row r="3540" spans="1:4">
      <c r="A3540">
        <v>1.0125489999999999</v>
      </c>
      <c r="B3540">
        <v>3.6039970000000001</v>
      </c>
      <c r="C3540">
        <f>LOG10(1.012549)</f>
        <v>5.4160490864059024E-3</v>
      </c>
      <c r="D3540">
        <f>LOG10(3.603997)</f>
        <v>0.55678442079648482</v>
      </c>
    </row>
    <row r="3541" spans="1:4">
      <c r="A3541">
        <v>1.0085649999999999</v>
      </c>
      <c r="B3541">
        <v>3.7367409999999999</v>
      </c>
      <c r="C3541">
        <f>LOG10(1.008565)</f>
        <v>3.7038928627636655E-3</v>
      </c>
      <c r="D3541">
        <f>LOG10(3.736741)</f>
        <v>0.57249299718897562</v>
      </c>
    </row>
    <row r="3542" spans="1:4">
      <c r="A3542">
        <v>1.0127120000000001</v>
      </c>
      <c r="B3542">
        <v>3.7767119999999998</v>
      </c>
      <c r="C3542">
        <f>LOG10(1.012712)</f>
        <v>5.4859561262423856E-3</v>
      </c>
      <c r="D3542">
        <f>LOG10(3.776712)</f>
        <v>0.57711386817948529</v>
      </c>
    </row>
    <row r="3543" spans="1:4">
      <c r="A3543">
        <v>1.011795</v>
      </c>
      <c r="B3543">
        <v>3.8232900000000001</v>
      </c>
      <c r="C3543">
        <f>LOG10(1.011795)</f>
        <v>5.0925289193810312E-3</v>
      </c>
      <c r="D3543">
        <f>LOG10(3.82329)</f>
        <v>0.5824372408971592</v>
      </c>
    </row>
    <row r="3544" spans="1:4">
      <c r="A3544">
        <v>1.0051920000000001</v>
      </c>
      <c r="B3544">
        <v>3.8467910000000001</v>
      </c>
      <c r="C3544">
        <f>LOG10(1.005192)</f>
        <v>2.2490235241189572E-3</v>
      </c>
      <c r="D3544">
        <f>LOG10(3.846791)</f>
        <v>0.58509859129448927</v>
      </c>
    </row>
    <row r="3545" spans="1:4">
      <c r="A3545">
        <v>1.0134430000000001</v>
      </c>
      <c r="B3545">
        <v>3.8444639999999999</v>
      </c>
      <c r="C3545">
        <f>LOG10(1.013443)</f>
        <v>5.7993272948307761E-3</v>
      </c>
      <c r="D3545">
        <f>LOG10(3.844464)</f>
        <v>0.58483579847583356</v>
      </c>
    </row>
    <row r="3546" spans="1:4">
      <c r="A3546">
        <v>1.006535</v>
      </c>
      <c r="B3546">
        <v>4.0863839999999998</v>
      </c>
      <c r="C3546">
        <f>LOG10(1.006535)</f>
        <v>2.8288811050361786E-3</v>
      </c>
      <c r="D3546">
        <f>LOG10(4.086384)</f>
        <v>0.61133917513174674</v>
      </c>
    </row>
    <row r="3547" spans="1:4">
      <c r="A3547">
        <v>1.008982</v>
      </c>
      <c r="B3547">
        <v>3.698664</v>
      </c>
      <c r="C3547">
        <f>LOG10(1.008982)</f>
        <v>3.8834185952819579E-3</v>
      </c>
      <c r="D3547">
        <f>LOG10(3.698664)</f>
        <v>0.56804488022758581</v>
      </c>
    </row>
    <row r="3548" spans="1:4">
      <c r="A3548">
        <v>1.0142370000000001</v>
      </c>
      <c r="B3548">
        <v>3.8829880000000001</v>
      </c>
      <c r="C3548">
        <f>LOG10(1.014237)</f>
        <v>6.1394498351290761E-3</v>
      </c>
      <c r="D3548">
        <f>LOG10(3.882988)</f>
        <v>0.58916604840290165</v>
      </c>
    </row>
    <row r="3549" spans="1:4">
      <c r="A3549">
        <v>1.006302</v>
      </c>
      <c r="B3549">
        <v>3.9782540000000002</v>
      </c>
      <c r="C3549">
        <f>LOG10(1.006302)</f>
        <v>2.7283358400838746E-3</v>
      </c>
      <c r="D3549">
        <f>LOG10(3.978254)</f>
        <v>0.59969250811893859</v>
      </c>
    </row>
    <row r="3550" spans="1:4">
      <c r="A3550">
        <v>1.0751109999999999</v>
      </c>
      <c r="B3550">
        <v>4.0464549999999999</v>
      </c>
      <c r="C3550">
        <f>LOG10(1.075111)</f>
        <v>3.1453305366835452E-2</v>
      </c>
      <c r="D3550">
        <f>LOG10(4.046455)</f>
        <v>0.60707471503368549</v>
      </c>
    </row>
    <row r="3551" spans="1:4">
      <c r="A3551">
        <v>1.0070079999999999</v>
      </c>
      <c r="B3551">
        <v>3.9953569999999998</v>
      </c>
      <c r="C3551">
        <f>LOG10(1.007008)</f>
        <v>3.0329207443374109E-3</v>
      </c>
      <c r="D3551">
        <f>LOG10(3.995357)</f>
        <v>0.60155559121020874</v>
      </c>
    </row>
    <row r="3552" spans="1:4">
      <c r="A3552">
        <v>1.006032</v>
      </c>
      <c r="B3552">
        <v>3.9726970000000001</v>
      </c>
      <c r="C3552">
        <f>LOG10(1.006032)</f>
        <v>2.6117950364026562E-3</v>
      </c>
      <c r="D3552">
        <f>LOG10(3.972697)</f>
        <v>0.59908544241600714</v>
      </c>
    </row>
    <row r="3553" spans="1:4">
      <c r="A3553">
        <v>1.0084420000000001</v>
      </c>
      <c r="B3553">
        <v>4.2578180000000003</v>
      </c>
      <c r="C3553">
        <f>LOG10(1.008442)</f>
        <v>3.6509250531920963E-3</v>
      </c>
      <c r="D3553">
        <f>LOG10(4.257818)</f>
        <v>0.62918709362532055</v>
      </c>
    </row>
    <row r="3554" spans="1:4">
      <c r="A3554">
        <v>1.007269</v>
      </c>
      <c r="B3554">
        <v>3.8661799999999999</v>
      </c>
      <c r="C3554">
        <f>LOG10(1.007269)</f>
        <v>3.1454681848445036E-3</v>
      </c>
      <c r="D3554">
        <f>LOG10(3.86618)</f>
        <v>0.58728206986504872</v>
      </c>
    </row>
    <row r="3555" spans="1:4">
      <c r="A3555">
        <v>1.010424</v>
      </c>
      <c r="B3555">
        <v>4.2080960000000003</v>
      </c>
      <c r="C3555">
        <f>LOG10(1.010424)</f>
        <v>4.5036532081791526E-3</v>
      </c>
      <c r="D3555">
        <f>LOG10(4.208096)</f>
        <v>0.62408563889156976</v>
      </c>
    </row>
    <row r="3556" spans="1:4">
      <c r="A3556">
        <v>1.0042180000000001</v>
      </c>
      <c r="B3556">
        <v>4.1427310000000004</v>
      </c>
      <c r="C3556">
        <f>LOG10(1.004218)</f>
        <v>1.8280015738924087E-3</v>
      </c>
      <c r="D3556">
        <f>LOG10(4.142731)</f>
        <v>0.6172867341651882</v>
      </c>
    </row>
    <row r="3557" spans="1:4">
      <c r="A3557">
        <v>1.008667</v>
      </c>
      <c r="B3557">
        <v>4.1608770000000002</v>
      </c>
      <c r="C3557">
        <f>LOG10(1.008667)</f>
        <v>3.7478124884605659E-3</v>
      </c>
      <c r="D3557">
        <f>LOG10(4.160877)</f>
        <v>0.61918487777064102</v>
      </c>
    </row>
    <row r="3558" spans="1:4">
      <c r="A3558">
        <v>1.0110570000000001</v>
      </c>
      <c r="B3558">
        <v>4.1461360000000003</v>
      </c>
      <c r="C3558">
        <f>LOG10(1.011057)</f>
        <v>4.7756403463517618E-3</v>
      </c>
      <c r="D3558">
        <f>LOG10(4.146136)</f>
        <v>0.61764354355640205</v>
      </c>
    </row>
    <row r="3559" spans="1:4">
      <c r="A3559">
        <v>1.0082599999999999</v>
      </c>
      <c r="B3559">
        <v>4.1613990000000003</v>
      </c>
      <c r="C3559">
        <f>LOG10(1.00826)</f>
        <v>3.5725380669928176E-3</v>
      </c>
      <c r="D3559">
        <f>LOG10(4.161399)</f>
        <v>0.61923935847275924</v>
      </c>
    </row>
    <row r="3560" spans="1:4">
      <c r="A3560">
        <v>1.0095940000000001</v>
      </c>
      <c r="B3560">
        <v>3.8086859999999998</v>
      </c>
      <c r="C3560">
        <f>LOG10(1.009594)</f>
        <v>4.1467609029965206E-3</v>
      </c>
      <c r="D3560">
        <f>LOG10(3.808686)</f>
        <v>0.5807751695397898</v>
      </c>
    </row>
    <row r="3561" spans="1:4">
      <c r="A3561">
        <v>1.004256</v>
      </c>
      <c r="B3561">
        <v>3.9332470000000002</v>
      </c>
      <c r="C3561">
        <f>LOG10(1.004256)</f>
        <v>1.8444351352074021E-3</v>
      </c>
      <c r="D3561">
        <f>LOG10(3.933247)</f>
        <v>0.59475122008601577</v>
      </c>
    </row>
    <row r="3562" spans="1:4">
      <c r="A3562">
        <v>1.010141</v>
      </c>
      <c r="B3562">
        <v>3.8679670000000002</v>
      </c>
      <c r="C3562">
        <f>LOG10(1.010141)</f>
        <v>4.3819987806479393E-3</v>
      </c>
      <c r="D3562">
        <f>LOG10(3.867967)</f>
        <v>0.58748276019404599</v>
      </c>
    </row>
    <row r="3563" spans="1:4">
      <c r="A3563">
        <v>1.0099480000000001</v>
      </c>
      <c r="B3563">
        <v>3.8307739999999999</v>
      </c>
      <c r="C3563">
        <f>LOG10(1.009948)</f>
        <v>4.2990134911262299E-3</v>
      </c>
      <c r="D3563">
        <f>LOG10(3.830774)</f>
        <v>0.58328653114045337</v>
      </c>
    </row>
    <row r="3564" spans="1:4">
      <c r="A3564">
        <v>1.005709</v>
      </c>
      <c r="B3564">
        <v>3.8451710000000001</v>
      </c>
      <c r="C3564">
        <f>LOG10(1.005709)</f>
        <v>2.4723366082449864E-3</v>
      </c>
      <c r="D3564">
        <f>LOG10(3.845171)</f>
        <v>0.58491565823499536</v>
      </c>
    </row>
    <row r="3565" spans="1:4">
      <c r="A3565">
        <v>1.0069090000000001</v>
      </c>
      <c r="B3565">
        <v>3.8414839999999999</v>
      </c>
      <c r="C3565">
        <f>LOG10(1.006909)</f>
        <v>2.9902227049018342E-3</v>
      </c>
      <c r="D3565">
        <f>LOG10(3.841484)</f>
        <v>0.58449902866658621</v>
      </c>
    </row>
    <row r="3566" spans="1:4">
      <c r="A3566">
        <v>1.0096860000000001</v>
      </c>
      <c r="B3566">
        <v>3.7237459999999998</v>
      </c>
      <c r="C3566">
        <f>LOG10(1.009686)</f>
        <v>4.1863345058279627E-3</v>
      </c>
      <c r="D3566">
        <f>LOG10(3.723746)</f>
        <v>0.57098004970981076</v>
      </c>
    </row>
    <row r="3567" spans="1:4">
      <c r="A3567">
        <v>1.0084120000000001</v>
      </c>
      <c r="B3567">
        <v>3.9583339999999998</v>
      </c>
      <c r="C3567">
        <f>LOG10(1.008412)</f>
        <v>3.6380050952198807E-3</v>
      </c>
      <c r="D3567">
        <f>LOG10(3.958334)</f>
        <v>0.5975124367215694</v>
      </c>
    </row>
    <row r="3568" spans="1:4">
      <c r="A3568">
        <v>1.0094730000000001</v>
      </c>
      <c r="B3568">
        <v>4.1820589999999997</v>
      </c>
      <c r="C3568">
        <f>LOG10(1.009473)</f>
        <v>4.0947075215354602E-3</v>
      </c>
      <c r="D3568">
        <f>LOG10(4.182059)</f>
        <v>0.62139015550070742</v>
      </c>
    </row>
    <row r="3569" spans="1:4">
      <c r="A3569">
        <v>1.0228170000000001</v>
      </c>
      <c r="B3569">
        <v>4.4241570000000001</v>
      </c>
      <c r="C3569">
        <f>LOG10(1.022817)</f>
        <v>9.7979377203874507E-3</v>
      </c>
      <c r="D3569">
        <f>LOG10(4.424157)</f>
        <v>0.64583053037255012</v>
      </c>
    </row>
    <row r="3570" spans="1:4">
      <c r="A3570">
        <v>1.0060009999999999</v>
      </c>
      <c r="B3570">
        <v>4.4334179999999996</v>
      </c>
      <c r="C3570">
        <f>LOG10(1.006001)</f>
        <v>2.5984124239503597E-3</v>
      </c>
      <c r="D3570">
        <f>LOG10(4.433418)</f>
        <v>0.64673868021321834</v>
      </c>
    </row>
    <row r="3571" spans="1:4">
      <c r="A3571">
        <v>1.0189429999999999</v>
      </c>
      <c r="B3571">
        <v>4.6448720000000003</v>
      </c>
      <c r="C3571">
        <f>LOG10(1.018943)</f>
        <v>8.1498901125589308E-3</v>
      </c>
      <c r="D3571">
        <f>LOG10(4.644872)</f>
        <v>0.66697375052349772</v>
      </c>
    </row>
    <row r="3572" spans="1:4">
      <c r="A3572">
        <v>1.015714</v>
      </c>
      <c r="B3572">
        <v>4.5195999999999996</v>
      </c>
      <c r="C3572">
        <f>LOG10(1.015714)</f>
        <v>6.7714385510810673E-3</v>
      </c>
      <c r="D3572">
        <f>LOG10(4.5196)</f>
        <v>0.65509999997070889</v>
      </c>
    </row>
    <row r="3573" spans="1:4">
      <c r="A3573">
        <v>1.0156959999999999</v>
      </c>
      <c r="B3573">
        <v>4.5328020000000002</v>
      </c>
      <c r="C3573">
        <f>LOG10(1.015696)</f>
        <v>6.7637421228125298E-3</v>
      </c>
      <c r="D3573">
        <f>LOG10(4.532802)</f>
        <v>0.65636674879937029</v>
      </c>
    </row>
    <row r="3574" spans="1:4">
      <c r="A3574">
        <v>1.013552</v>
      </c>
      <c r="B3574">
        <v>4.5530929999999996</v>
      </c>
      <c r="C3574">
        <f>LOG10(1.013552)</f>
        <v>5.8460349567372389E-3</v>
      </c>
      <c r="D3574">
        <f>LOG10(4.553093)</f>
        <v>0.65830652115693211</v>
      </c>
    </row>
    <row r="3575" spans="1:4">
      <c r="A3575">
        <v>1.0124949999999999</v>
      </c>
      <c r="B3575">
        <v>4.6576300000000002</v>
      </c>
      <c r="C3575">
        <f>LOG10(1.012495)</f>
        <v>5.3928872173024823E-3</v>
      </c>
      <c r="D3575">
        <f>LOG10(4.65763)</f>
        <v>0.66816498541363312</v>
      </c>
    </row>
    <row r="3576" spans="1:4">
      <c r="A3576">
        <v>1.018953</v>
      </c>
      <c r="B3576">
        <v>4.5181100000000001</v>
      </c>
      <c r="C3576">
        <f>LOG10(1.018953)</f>
        <v>8.1541522974978055E-3</v>
      </c>
      <c r="D3576">
        <f>LOG10(4.51811)</f>
        <v>0.65495680024779268</v>
      </c>
    </row>
    <row r="3577" spans="1:4">
      <c r="A3577">
        <v>1.02085</v>
      </c>
      <c r="B3577">
        <v>4.5795409999999999</v>
      </c>
      <c r="C3577">
        <f>LOG10(1.02085)</f>
        <v>8.9619331171987976E-3</v>
      </c>
      <c r="D3577">
        <f>LOG10(4.579541)</f>
        <v>0.66082195155044532</v>
      </c>
    </row>
    <row r="3578" spans="1:4">
      <c r="A3578">
        <v>1.014907</v>
      </c>
      <c r="B3578">
        <v>4.6150200000000003</v>
      </c>
      <c r="C3578">
        <f>LOG10(1.014907)</f>
        <v>6.4262479267871379E-3</v>
      </c>
      <c r="D3578">
        <f>LOG10(4.61502)</f>
        <v>0.66417358745744925</v>
      </c>
    </row>
    <row r="3579" spans="1:4">
      <c r="A3579">
        <v>1.0390520000000001</v>
      </c>
      <c r="B3579">
        <v>4.771077</v>
      </c>
      <c r="C3579">
        <f>LOG10(1.039052)</f>
        <v>1.6637282637015378E-2</v>
      </c>
      <c r="D3579">
        <f>LOG10(4.771077)</f>
        <v>0.67861642565665348</v>
      </c>
    </row>
    <row r="3580" spans="1:4">
      <c r="A3580">
        <v>1.0388790000000001</v>
      </c>
      <c r="B3580">
        <v>4.5831460000000002</v>
      </c>
      <c r="C3580">
        <f>LOG10(1.038879)</f>
        <v>1.6564967487433559E-2</v>
      </c>
      <c r="D3580">
        <f>LOG10(4.583146)</f>
        <v>0.66116369228393246</v>
      </c>
    </row>
    <row r="3581" spans="1:4">
      <c r="A3581">
        <v>1.0095829999999999</v>
      </c>
      <c r="B3581">
        <v>4.6590340000000001</v>
      </c>
      <c r="C3581">
        <f>LOG10(1.009583)</f>
        <v>4.1420290352097225E-3</v>
      </c>
      <c r="D3581">
        <f>LOG10(4.659034)</f>
        <v>0.66829587978896066</v>
      </c>
    </row>
    <row r="3582" spans="1:4">
      <c r="A3582">
        <v>1.0114430000000001</v>
      </c>
      <c r="B3582">
        <v>4.6378409999999999</v>
      </c>
      <c r="C3582">
        <f>LOG10(1.011443)</f>
        <v>4.9414130752022389E-3</v>
      </c>
      <c r="D3582">
        <f>LOG10(4.637841)</f>
        <v>0.66631585555546469</v>
      </c>
    </row>
    <row r="3583" spans="1:4">
      <c r="A3583">
        <v>1.017582</v>
      </c>
      <c r="B3583">
        <v>4.3117460000000003</v>
      </c>
      <c r="C3583">
        <f>LOG10(1.017582)</f>
        <v>7.5694161406064005E-3</v>
      </c>
      <c r="D3583">
        <f>LOG10(4.311746)</f>
        <v>0.6346531691435523</v>
      </c>
    </row>
    <row r="3584" spans="1:4">
      <c r="A3584">
        <v>1.0664149999999999</v>
      </c>
      <c r="B3584">
        <v>3.9825249999999999</v>
      </c>
      <c r="C3584">
        <f>LOG10(1.066415)</f>
        <v>2.792624515619006E-2</v>
      </c>
      <c r="D3584">
        <f>LOG10(3.982525)</f>
        <v>0.60015851073254622</v>
      </c>
    </row>
    <row r="3585" spans="1:4">
      <c r="A3585">
        <v>1.02837</v>
      </c>
      <c r="B3585">
        <v>3.8900359999999998</v>
      </c>
      <c r="C3585">
        <f>LOG10(1.02837)</f>
        <v>1.2149398752137365E-2</v>
      </c>
      <c r="D3585">
        <f>LOG10(3.890036)</f>
        <v>0.58995362048483468</v>
      </c>
    </row>
    <row r="3586" spans="1:4">
      <c r="A3586">
        <v>1.02813</v>
      </c>
      <c r="B3586">
        <v>3.7248920000000001</v>
      </c>
      <c r="C3586">
        <f>LOG10(1.02813)</f>
        <v>1.2048031695361306E-2</v>
      </c>
      <c r="D3586">
        <f>LOG10(3.724892)</f>
        <v>0.57111368527652473</v>
      </c>
    </row>
    <row r="3587" spans="1:4">
      <c r="A3587">
        <v>1.0111969999999999</v>
      </c>
      <c r="B3587">
        <v>3.7501060000000002</v>
      </c>
      <c r="C3587">
        <f>LOG10(1.011197)</f>
        <v>4.8357724836238418E-3</v>
      </c>
      <c r="D3587">
        <f>LOG10(3.750106)</f>
        <v>0.57404354361157561</v>
      </c>
    </row>
    <row r="3588" spans="1:4">
      <c r="A3588">
        <v>1.008435</v>
      </c>
      <c r="B3588">
        <v>3.8982220000000001</v>
      </c>
      <c r="C3588">
        <f>LOG10(1.008435)</f>
        <v>3.6479104307105331E-3</v>
      </c>
      <c r="D3588">
        <f>LOG10(3.898222)</f>
        <v>0.5908665681396339</v>
      </c>
    </row>
    <row r="3589" spans="1:4">
      <c r="A3589">
        <v>1.007196</v>
      </c>
      <c r="B3589">
        <v>3.950739</v>
      </c>
      <c r="C3589">
        <f>LOG10(1.007196)</f>
        <v>3.1139923367232304E-3</v>
      </c>
      <c r="D3589">
        <f>LOG10(3.950739)</f>
        <v>0.59667833957669392</v>
      </c>
    </row>
    <row r="3590" spans="1:4">
      <c r="A3590">
        <v>1.0106269999999999</v>
      </c>
      <c r="B3590">
        <v>4.0209400000000004</v>
      </c>
      <c r="C3590">
        <f>LOG10(1.010627)</f>
        <v>4.5908967068566432E-3</v>
      </c>
      <c r="D3590">
        <f>LOG10(4.02094)</f>
        <v>0.6043275926594075</v>
      </c>
    </row>
    <row r="3591" spans="1:4">
      <c r="A3591">
        <v>1.0094240000000001</v>
      </c>
      <c r="B3591">
        <v>3.96197</v>
      </c>
      <c r="C3591">
        <f>LOG10(1.009424)</f>
        <v>4.0736262780471369E-3</v>
      </c>
      <c r="D3591">
        <f>LOG10(3.96197)</f>
        <v>0.59791118274119959</v>
      </c>
    </row>
    <row r="3592" spans="1:4">
      <c r="A3592">
        <v>1.00654</v>
      </c>
      <c r="B3592">
        <v>4.0445169999999999</v>
      </c>
      <c r="C3592">
        <f>LOG10(1.00654)</f>
        <v>2.8310384736484114E-3</v>
      </c>
      <c r="D3592">
        <f>LOG10(4.044517)</f>
        <v>0.60686666519195454</v>
      </c>
    </row>
    <row r="3593" spans="1:4">
      <c r="A3593">
        <v>1.0074879999999999</v>
      </c>
      <c r="B3593">
        <v>4.0157600000000002</v>
      </c>
      <c r="C3593">
        <f>LOG10(1.007488)</f>
        <v>3.2398820440954043E-3</v>
      </c>
      <c r="D3593">
        <f>LOG10(4.01576)</f>
        <v>0.60376774950791834</v>
      </c>
    </row>
    <row r="3594" spans="1:4">
      <c r="A3594">
        <v>1.010901</v>
      </c>
      <c r="B3594">
        <v>4.0882719999999999</v>
      </c>
      <c r="C3594">
        <f>LOG10(1.010901)</f>
        <v>4.7086261558380556E-3</v>
      </c>
      <c r="D3594">
        <f>LOG10(4.088272)</f>
        <v>0.61153978247141028</v>
      </c>
    </row>
    <row r="3595" spans="1:4">
      <c r="A3595">
        <v>1.0027379999999999</v>
      </c>
      <c r="B3595">
        <v>3.8905379999999998</v>
      </c>
      <c r="C3595">
        <f>LOG10(1.002738)</f>
        <v>1.1874733812171239E-3</v>
      </c>
      <c r="D3595">
        <f>LOG10(3.890538)</f>
        <v>0.59000966155075552</v>
      </c>
    </row>
    <row r="3596" spans="1:4">
      <c r="A3596">
        <v>1.0090600000000001</v>
      </c>
      <c r="B3596">
        <v>3.778124</v>
      </c>
      <c r="C3596">
        <f>LOG10(1.00906)</f>
        <v>3.9169907108329051E-3</v>
      </c>
      <c r="D3596">
        <f>LOG10(3.778124)</f>
        <v>0.57727620759111187</v>
      </c>
    </row>
    <row r="3597" spans="1:4">
      <c r="A3597">
        <v>1.0061690000000001</v>
      </c>
      <c r="B3597">
        <v>3.8024010000000001</v>
      </c>
      <c r="C3597">
        <f>LOG10(1.006169)</f>
        <v>2.670932611737033E-3</v>
      </c>
      <c r="D3597">
        <f>LOG10(3.802401)</f>
        <v>0.58005791550257235</v>
      </c>
    </row>
    <row r="3598" spans="1:4">
      <c r="A3598">
        <v>1.0112190000000001</v>
      </c>
      <c r="B3598">
        <v>3.9042560000000002</v>
      </c>
      <c r="C3598">
        <f>LOG10(1.011219)</f>
        <v>4.8452210625535277E-3</v>
      </c>
      <c r="D3598">
        <f>LOG10(3.904256)</f>
        <v>0.59153828638766159</v>
      </c>
    </row>
    <row r="3599" spans="1:4">
      <c r="A3599">
        <v>1.0032209999999999</v>
      </c>
      <c r="B3599">
        <v>3.966885</v>
      </c>
      <c r="C3599">
        <f>LOG10(1.003221)</f>
        <v>1.3966144841140995E-3</v>
      </c>
      <c r="D3599">
        <f>LOG10(3.966885)</f>
        <v>0.59844961045918998</v>
      </c>
    </row>
    <row r="3600" spans="1:4">
      <c r="A3600">
        <v>1.012551</v>
      </c>
      <c r="B3600">
        <v>3.1708270000000001</v>
      </c>
      <c r="C3600">
        <f>LOG10(1.012551)</f>
        <v>5.4169069096875492E-3</v>
      </c>
      <c r="D3600">
        <f>LOG10(3.170827)</f>
        <v>0.50117254761051511</v>
      </c>
    </row>
    <row r="3601" spans="1:4">
      <c r="A3601">
        <v>1.0065630000000001</v>
      </c>
      <c r="B3601">
        <v>4.2561859999999996</v>
      </c>
      <c r="C3601">
        <f>LOG10(1.006563)</f>
        <v>2.8409622312348393E-3</v>
      </c>
      <c r="D3601">
        <f>LOG10(4.256186)</f>
        <v>0.6290205988472708</v>
      </c>
    </row>
    <row r="3602" spans="1:4">
      <c r="A3602">
        <v>1.012432</v>
      </c>
      <c r="B3602">
        <v>4.0814170000000001</v>
      </c>
      <c r="C3602">
        <f>LOG10(1.012432)</f>
        <v>5.3658634753417098E-3</v>
      </c>
      <c r="D3602">
        <f>LOG10(4.081417)</f>
        <v>0.61081096908032018</v>
      </c>
    </row>
    <row r="3603" spans="1:4">
      <c r="A3603">
        <v>1.0102420000000001</v>
      </c>
      <c r="B3603">
        <v>3.8742920000000001</v>
      </c>
      <c r="C3603">
        <f>LOG10(1.010242)</f>
        <v>4.425419996040094E-3</v>
      </c>
      <c r="D3603">
        <f>LOG10(3.874292)</f>
        <v>0.5881923497877638</v>
      </c>
    </row>
    <row r="3604" spans="1:4">
      <c r="A3604">
        <v>1.0280279999999999</v>
      </c>
      <c r="B3604">
        <v>4.2725090000000003</v>
      </c>
      <c r="C3604">
        <f>LOG10(1.028028)</f>
        <v>1.2004943530745077E-2</v>
      </c>
      <c r="D3604">
        <f>LOG10(4.272509)</f>
        <v>0.63068298623097707</v>
      </c>
    </row>
    <row r="3605" spans="1:4">
      <c r="A3605">
        <v>1.0068010000000001</v>
      </c>
      <c r="B3605">
        <v>4.2974069999999998</v>
      </c>
      <c r="C3605">
        <f>LOG10(1.006801)</f>
        <v>2.9436382373364731E-3</v>
      </c>
      <c r="D3605">
        <f>LOG10(4.297407)</f>
        <v>0.63320648691258707</v>
      </c>
    </row>
    <row r="3606" spans="1:4">
      <c r="A3606">
        <v>1.007474</v>
      </c>
      <c r="B3606">
        <v>4.1478200000000003</v>
      </c>
      <c r="C3606">
        <f>LOG10(1.007474)</f>
        <v>3.2338470689973874E-3</v>
      </c>
      <c r="D3606">
        <f>LOG10(4.14782)</f>
        <v>0.61781990135660625</v>
      </c>
    </row>
    <row r="3607" spans="1:4">
      <c r="A3607">
        <v>1.0066079999999999</v>
      </c>
      <c r="B3607">
        <v>4.1610719999999999</v>
      </c>
      <c r="C3607">
        <f>LOG10(1.006608)</f>
        <v>2.8603776228621142E-3</v>
      </c>
      <c r="D3607">
        <f>LOG10(4.161072)</f>
        <v>0.61920523055674592</v>
      </c>
    </row>
    <row r="3608" spans="1:4">
      <c r="A3608">
        <v>1.0046600000000001</v>
      </c>
      <c r="B3608">
        <v>4.0281260000000003</v>
      </c>
      <c r="C3608">
        <f>LOG10(1.00466)</f>
        <v>2.0191114014666486E-3</v>
      </c>
      <c r="D3608">
        <f>LOG10(4.028126)</f>
        <v>0.60510304684902616</v>
      </c>
    </row>
    <row r="3609" spans="1:4">
      <c r="A3609">
        <v>1.005504</v>
      </c>
      <c r="B3609">
        <v>3.9696690000000001</v>
      </c>
      <c r="C3609">
        <f>LOG10(1.005504)</f>
        <v>2.3838026050354844E-3</v>
      </c>
      <c r="D3609">
        <f>LOG10(3.969669)</f>
        <v>0.59875429581437323</v>
      </c>
    </row>
    <row r="3610" spans="1:4">
      <c r="A3610">
        <v>1.006114</v>
      </c>
      <c r="B3610">
        <v>3.8643709999999998</v>
      </c>
      <c r="C3610">
        <f>LOG10(1.006114)</f>
        <v>2.6471922168614741E-3</v>
      </c>
      <c r="D3610">
        <f>LOG10(3.864371)</f>
        <v>0.58707881430613618</v>
      </c>
    </row>
    <row r="3611" spans="1:4">
      <c r="A3611">
        <v>1.0054920000000001</v>
      </c>
      <c r="B3611">
        <v>3.800878</v>
      </c>
      <c r="C3611">
        <f>LOG10(1.005492)</f>
        <v>2.3786195675924884E-3</v>
      </c>
      <c r="D3611">
        <f>LOG10(3.800878)</f>
        <v>0.5798839299090448</v>
      </c>
    </row>
    <row r="3612" spans="1:4">
      <c r="A3612">
        <v>1.013123</v>
      </c>
      <c r="B3612">
        <v>3.8889670000000001</v>
      </c>
      <c r="C3612">
        <f>LOG10(1.013123)</f>
        <v>5.6621748553206796E-3</v>
      </c>
      <c r="D3612">
        <f>LOG10(3.888967)</f>
        <v>0.5898342579382263</v>
      </c>
    </row>
    <row r="3613" spans="1:4">
      <c r="A3613">
        <v>1.0051559999999999</v>
      </c>
      <c r="B3613">
        <v>3.7473070000000002</v>
      </c>
      <c r="C3613">
        <f>LOG10(1.005156)</f>
        <v>2.2334693998078904E-3</v>
      </c>
      <c r="D3613">
        <f>LOG10(3.747307)</f>
        <v>0.57371927434394399</v>
      </c>
    </row>
    <row r="3614" spans="1:4">
      <c r="A3614">
        <v>1.0117719999999999</v>
      </c>
      <c r="B3614">
        <v>3.7867790000000001</v>
      </c>
      <c r="C3614">
        <f>LOG10(1.011772)</f>
        <v>5.0826564782073501E-3</v>
      </c>
      <c r="D3614">
        <f>LOG10(3.786779)</f>
        <v>0.57826996002413733</v>
      </c>
    </row>
    <row r="3615" spans="1:4">
      <c r="A3615">
        <v>1.007709</v>
      </c>
      <c r="B3615">
        <v>3.654077</v>
      </c>
      <c r="C3615">
        <f>LOG10(1.007709)</f>
        <v>3.3351373277082756E-3</v>
      </c>
      <c r="D3615">
        <f>LOG10(3.654077)</f>
        <v>0.56277769471952044</v>
      </c>
    </row>
    <row r="3616" spans="1:4">
      <c r="A3616">
        <v>1.009622</v>
      </c>
      <c r="B3616">
        <v>4.0042030000000004</v>
      </c>
      <c r="C3616">
        <f>LOG10(1.009622)</f>
        <v>4.1588054247257804E-3</v>
      </c>
      <c r="D3616">
        <f>LOG10(4.004203)</f>
        <v>0.60251608667567058</v>
      </c>
    </row>
    <row r="3617" spans="1:4">
      <c r="A3617">
        <v>1.0147870000000001</v>
      </c>
      <c r="B3617">
        <v>4.2056040000000001</v>
      </c>
      <c r="C3617">
        <f>LOG10(1.014787)</f>
        <v>6.3748950254245993E-3</v>
      </c>
      <c r="D3617">
        <f>LOG10(4.205604)</f>
        <v>0.62382837707321392</v>
      </c>
    </row>
    <row r="3618" spans="1:4">
      <c r="A3618">
        <v>1.0173939999999999</v>
      </c>
      <c r="B3618">
        <v>4.3013919999999999</v>
      </c>
      <c r="C3618">
        <f>LOG10(1.017394)</f>
        <v>7.4891720858066106E-3</v>
      </c>
      <c r="D3618">
        <f>LOG10(4.301392)</f>
        <v>0.63360902304217559</v>
      </c>
    </row>
    <row r="3619" spans="1:4">
      <c r="A3619">
        <v>1.014745</v>
      </c>
      <c r="B3619">
        <v>4.3286490000000004</v>
      </c>
      <c r="C3619">
        <f>LOG10(1.014745)</f>
        <v>6.3569200752956216E-3</v>
      </c>
      <c r="D3619">
        <f>LOG10(4.328649)</f>
        <v>0.63635237131942246</v>
      </c>
    </row>
    <row r="3620" spans="1:4">
      <c r="A3620">
        <v>1.0167139999999999</v>
      </c>
      <c r="B3620">
        <v>4.4212530000000001</v>
      </c>
      <c r="C3620">
        <f>LOG10(1.016714)</f>
        <v>7.1988037683962652E-3</v>
      </c>
      <c r="D3620">
        <f>LOG10(4.421253)</f>
        <v>0.64554536750937941</v>
      </c>
    </row>
    <row r="3621" spans="1:4">
      <c r="A3621">
        <v>1.022988</v>
      </c>
      <c r="B3621">
        <v>4.2956159999999999</v>
      </c>
      <c r="C3621">
        <f>LOG10(1.022988)</f>
        <v>9.8705393188568778E-3</v>
      </c>
      <c r="D3621">
        <f>LOG10(4.295616)</f>
        <v>0.63302545133794663</v>
      </c>
    </row>
    <row r="3622" spans="1:4">
      <c r="A3622">
        <v>1.016087</v>
      </c>
      <c r="B3622">
        <v>4.3618399999999999</v>
      </c>
      <c r="C3622">
        <f>LOG10(1.016087)</f>
        <v>6.9308949580517394E-3</v>
      </c>
      <c r="D3622">
        <f>LOG10(4.36184)</f>
        <v>0.63966973084572043</v>
      </c>
    </row>
    <row r="3623" spans="1:4">
      <c r="A3623">
        <v>1.0153730000000001</v>
      </c>
      <c r="B3623">
        <v>4.4224139999999998</v>
      </c>
      <c r="C3623">
        <f>LOG10(1.015373)</f>
        <v>6.6256108049328908E-3</v>
      </c>
      <c r="D3623">
        <f>LOG10(4.422414)</f>
        <v>0.6456593962027678</v>
      </c>
    </row>
    <row r="3624" spans="1:4">
      <c r="A3624">
        <v>1.0166409999999999</v>
      </c>
      <c r="B3624">
        <v>4.3481810000000003</v>
      </c>
      <c r="C3624">
        <f>LOG10(1.016641)</f>
        <v>7.1676203329483932E-3</v>
      </c>
      <c r="D3624">
        <f>LOG10(4.348181)</f>
        <v>0.63830761399409242</v>
      </c>
    </row>
    <row r="3625" spans="1:4">
      <c r="A3625">
        <v>1.0213159999999999</v>
      </c>
      <c r="B3625">
        <v>4.2778939999999999</v>
      </c>
      <c r="C3625">
        <f>LOG10(1.021316)</f>
        <v>9.1601356453767553E-3</v>
      </c>
      <c r="D3625">
        <f>LOG10(4.277894)</f>
        <v>0.63123001918234889</v>
      </c>
    </row>
    <row r="3626" spans="1:4">
      <c r="A3626">
        <v>1.015973</v>
      </c>
      <c r="B3626">
        <v>4.2525380000000004</v>
      </c>
      <c r="C3626">
        <f>LOG10(1.015973)</f>
        <v>6.8821665041784406E-3</v>
      </c>
      <c r="D3626">
        <f>LOG10(4.252538)</f>
        <v>0.6286482030880346</v>
      </c>
    </row>
    <row r="3627" spans="1:4">
      <c r="A3627">
        <v>1.0161480000000001</v>
      </c>
      <c r="B3627">
        <v>4.4510129999999997</v>
      </c>
      <c r="C3627">
        <f>LOG10(1.016148)</f>
        <v>6.956966709993905E-3</v>
      </c>
      <c r="D3627">
        <f>LOG10(4.451013)</f>
        <v>0.64845886272108011</v>
      </c>
    </row>
    <row r="3628" spans="1:4">
      <c r="A3628">
        <v>1.0179510000000001</v>
      </c>
      <c r="B3628">
        <v>4.4165450000000002</v>
      </c>
      <c r="C3628">
        <f>LOG10(1.017951)</f>
        <v>7.7268733428013702E-3</v>
      </c>
      <c r="D3628">
        <f>LOG10(4.416545)</f>
        <v>0.64508265980453872</v>
      </c>
    </row>
    <row r="3629" spans="1:4">
      <c r="A3629">
        <v>1.0141370000000001</v>
      </c>
      <c r="B3629">
        <v>4.3860200000000003</v>
      </c>
      <c r="C3629">
        <f>LOG10(1.014137)</f>
        <v>6.0966279016735044E-3</v>
      </c>
      <c r="D3629">
        <f>LOG10(4.38602)</f>
        <v>0.6420706077039835</v>
      </c>
    </row>
    <row r="3630" spans="1:4">
      <c r="A3630">
        <v>1.0087349999999999</v>
      </c>
      <c r="B3630">
        <v>4.4982740000000003</v>
      </c>
      <c r="C3630">
        <f>LOG10(1.008735)</f>
        <v>3.7770897716005516E-3</v>
      </c>
      <c r="D3630">
        <f>LOG10(4.498274)</f>
        <v>0.65304590576030475</v>
      </c>
    </row>
    <row r="3631" spans="1:4">
      <c r="A3631">
        <v>1.020518</v>
      </c>
      <c r="B3631">
        <v>4.386666</v>
      </c>
      <c r="C3631">
        <f>LOG10(1.020518)</f>
        <v>8.8206692497695641E-3</v>
      </c>
      <c r="D3631">
        <f>LOG10(4.386666)</f>
        <v>0.64213456855606832</v>
      </c>
    </row>
    <row r="3632" spans="1:4">
      <c r="A3632">
        <v>1.019711</v>
      </c>
      <c r="B3632">
        <v>3.9992770000000002</v>
      </c>
      <c r="C3632">
        <f>LOG10(1.019711)</f>
        <v>8.4771042233202712E-3</v>
      </c>
      <c r="D3632">
        <f>LOG10(3.999277)</f>
        <v>0.60198148550518094</v>
      </c>
    </row>
    <row r="3633" spans="1:4">
      <c r="A3633">
        <v>1.011619</v>
      </c>
      <c r="B3633">
        <v>3.7082869999999999</v>
      </c>
      <c r="C3633">
        <f>LOG10(1.011619)</f>
        <v>5.0169775700202781E-3</v>
      </c>
      <c r="D3633">
        <f>LOG10(3.708287)</f>
        <v>0.5691733386582406</v>
      </c>
    </row>
    <row r="3634" spans="1:4">
      <c r="A3634">
        <v>1.0109049999999999</v>
      </c>
      <c r="B3634">
        <v>3.6861039999999998</v>
      </c>
      <c r="C3634">
        <f>LOG10(1.010905)</f>
        <v>4.710344597595147E-3</v>
      </c>
      <c r="D3634">
        <f>LOG10(3.686104)</f>
        <v>0.56656758427126575</v>
      </c>
    </row>
    <row r="3635" spans="1:4">
      <c r="A3635">
        <v>1.006343</v>
      </c>
      <c r="B3635">
        <v>3.570446</v>
      </c>
      <c r="C3635">
        <f>LOG10(1.006343)</f>
        <v>2.7460300422511501E-3</v>
      </c>
      <c r="D3635">
        <f>LOG10(3.570446)</f>
        <v>0.55272246912080936</v>
      </c>
    </row>
    <row r="3636" spans="1:4">
      <c r="A3636">
        <v>1.0103629999999999</v>
      </c>
      <c r="B3636">
        <v>3.603691</v>
      </c>
      <c r="C3636">
        <f>LOG10(1.010363)</f>
        <v>4.4774337566444947E-3</v>
      </c>
      <c r="D3636">
        <f>LOG10(3.603691)</f>
        <v>0.55674754514050695</v>
      </c>
    </row>
    <row r="3637" spans="1:4">
      <c r="A3637">
        <v>1.011099</v>
      </c>
      <c r="B3637">
        <v>3.6150410000000002</v>
      </c>
      <c r="C3637">
        <f>LOG10(1.011099)</f>
        <v>4.7936808617645241E-3</v>
      </c>
      <c r="D3637">
        <f>LOG10(3.615041)</f>
        <v>0.55811322721084944</v>
      </c>
    </row>
    <row r="3638" spans="1:4">
      <c r="A3638">
        <v>1.480979</v>
      </c>
      <c r="B3638">
        <v>3.566055</v>
      </c>
      <c r="C3638">
        <f>LOG10(1.480979)</f>
        <v>0.17054890035187636</v>
      </c>
      <c r="D3638">
        <f>LOG10(3.566055)</f>
        <v>0.5521880371041431</v>
      </c>
    </row>
    <row r="3639" spans="1:4">
      <c r="A3639">
        <v>1.0150170000000001</v>
      </c>
      <c r="B3639">
        <v>3.7132230000000002</v>
      </c>
      <c r="C3639">
        <f>LOG10(1.015017)</f>
        <v>6.4733160860444717E-3</v>
      </c>
      <c r="D3639">
        <f>LOG10(3.713223)</f>
        <v>0.56975103184433329</v>
      </c>
    </row>
    <row r="3640" spans="1:4">
      <c r="A3640">
        <v>1.064435</v>
      </c>
      <c r="B3640">
        <v>3.687376</v>
      </c>
      <c r="C3640">
        <f>LOG10(1.064435)</f>
        <v>2.7119146278600566E-2</v>
      </c>
      <c r="D3640">
        <f>LOG10(3.687376)</f>
        <v>0.56671742466859809</v>
      </c>
    </row>
    <row r="3641" spans="1:4">
      <c r="A3641">
        <v>1.014864</v>
      </c>
      <c r="B3641">
        <v>3.8654310000000001</v>
      </c>
      <c r="C3641">
        <f>LOG10(1.014864)</f>
        <v>6.4078471685492478E-3</v>
      </c>
      <c r="D3641">
        <f>LOG10(3.865431)</f>
        <v>0.58719792528820358</v>
      </c>
    </row>
    <row r="3642" spans="1:4">
      <c r="A3642">
        <v>1.0158499999999999</v>
      </c>
      <c r="B3642">
        <v>3.7529680000000001</v>
      </c>
      <c r="C3642">
        <f>LOG10(1.01585)</f>
        <v>6.8295849344852189E-3</v>
      </c>
      <c r="D3642">
        <f>LOG10(3.752968)</f>
        <v>0.57437486138013027</v>
      </c>
    </row>
    <row r="3643" spans="1:4">
      <c r="A3643">
        <v>1.0246139999999999</v>
      </c>
      <c r="B3643">
        <v>3.8771819999999999</v>
      </c>
      <c r="C3643">
        <f>LOG10(1.024614)</f>
        <v>1.0560285642613907E-2</v>
      </c>
      <c r="D3643">
        <f>LOG10(3.877182)</f>
        <v>0.58851618783736714</v>
      </c>
    </row>
    <row r="3644" spans="1:4">
      <c r="A3644">
        <v>1.0169900000000001</v>
      </c>
      <c r="B3644">
        <v>3.8611300000000002</v>
      </c>
      <c r="C3644">
        <f>LOG10(1.01699)</f>
        <v>7.3166825528617162E-3</v>
      </c>
      <c r="D3644">
        <f>LOG10(3.86113)</f>
        <v>0.58671442408770946</v>
      </c>
    </row>
    <row r="3645" spans="1:4">
      <c r="A3645">
        <v>1.0164789999999999</v>
      </c>
      <c r="B3645">
        <v>3.8215780000000001</v>
      </c>
      <c r="C3645">
        <f>LOG10(1.016479)</f>
        <v>7.0984107376296512E-3</v>
      </c>
      <c r="D3645">
        <f>LOG10(3.821578)</f>
        <v>0.58224272814286515</v>
      </c>
    </row>
    <row r="3646" spans="1:4">
      <c r="A3646">
        <v>1.020815</v>
      </c>
      <c r="B3646">
        <v>3.7499609999999999</v>
      </c>
      <c r="C3646">
        <f>LOG10(1.020815)</f>
        <v>8.9470430085197474E-3</v>
      </c>
      <c r="D3646">
        <f>LOG10(3.749961)</f>
        <v>0.57402675104162026</v>
      </c>
    </row>
    <row r="3647" spans="1:4">
      <c r="A3647">
        <v>1.0149649999999999</v>
      </c>
      <c r="B3647">
        <v>3.9995790000000002</v>
      </c>
      <c r="C3647">
        <f>LOG10(1.014965)</f>
        <v>6.4510663192347368E-3</v>
      </c>
      <c r="D3647">
        <f>LOG10(3.999579)</f>
        <v>0.60201427942811114</v>
      </c>
    </row>
    <row r="3648" spans="1:4">
      <c r="A3648">
        <v>1.015423</v>
      </c>
      <c r="B3648">
        <v>3.8010579999999998</v>
      </c>
      <c r="C3648">
        <f>LOG10(1.015423)</f>
        <v>6.6469962361623194E-3</v>
      </c>
      <c r="D3648">
        <f>LOG10(3.801058)</f>
        <v>0.57990449651385634</v>
      </c>
    </row>
    <row r="3649" spans="1:4">
      <c r="A3649">
        <v>1.0035080000000001</v>
      </c>
      <c r="B3649">
        <v>3.9943490000000001</v>
      </c>
      <c r="C3649">
        <f>LOG10(1.003508)</f>
        <v>1.5208390477259538E-3</v>
      </c>
      <c r="D3649">
        <f>LOG10(3.994349)</f>
        <v>0.60144600799398495</v>
      </c>
    </row>
    <row r="3650" spans="1:4">
      <c r="A3650">
        <v>1.0041880000000001</v>
      </c>
      <c r="B3650">
        <v>3.9483739999999998</v>
      </c>
      <c r="C3650">
        <f>LOG10(1.004188)</f>
        <v>1.8150272704317981E-3</v>
      </c>
      <c r="D3650">
        <f>LOG10(3.948374)</f>
        <v>0.59641828342092262</v>
      </c>
    </row>
    <row r="3651" spans="1:4">
      <c r="A3651">
        <v>1.0050870000000001</v>
      </c>
      <c r="B3651">
        <v>4.0574890000000003</v>
      </c>
      <c r="C3651">
        <f>LOG10(1.005087)</f>
        <v>2.2036557710445634E-3</v>
      </c>
      <c r="D3651">
        <f>LOG10(4.057489)</f>
        <v>0.60825735111175649</v>
      </c>
    </row>
    <row r="3652" spans="1:4">
      <c r="A3652">
        <v>1.0076290000000001</v>
      </c>
      <c r="B3652">
        <v>3.9989569999999999</v>
      </c>
      <c r="C3652">
        <f>LOG10(1.007629)</f>
        <v>3.3006581896476155E-3</v>
      </c>
      <c r="D3652">
        <f>LOG10(3.998957)</f>
        <v>0.60194673427527612</v>
      </c>
    </row>
    <row r="3653" spans="1:4">
      <c r="A3653">
        <v>1.006677</v>
      </c>
      <c r="B3653">
        <v>3.864703</v>
      </c>
      <c r="C3653">
        <f>LOG10(1.006677)</f>
        <v>2.8901462043228604E-3</v>
      </c>
      <c r="D3653">
        <f>LOG10(3.864703)</f>
        <v>0.58711612427834781</v>
      </c>
    </row>
    <row r="3654" spans="1:4">
      <c r="A3654">
        <v>1.008929</v>
      </c>
      <c r="B3654">
        <v>3.9861819999999999</v>
      </c>
      <c r="C3654">
        <f>LOG10(1.008929)</f>
        <v>3.8606052922708738E-3</v>
      </c>
      <c r="D3654">
        <f>LOG10(3.986182)</f>
        <v>0.60055712371500802</v>
      </c>
    </row>
    <row r="3655" spans="1:4">
      <c r="A3655">
        <v>1.015039</v>
      </c>
      <c r="B3655">
        <v>4.2685399999999998</v>
      </c>
      <c r="C3655">
        <f>LOG10(1.015039)</f>
        <v>6.4827291057860271E-3</v>
      </c>
      <c r="D3655">
        <f>LOG10(4.26854)</f>
        <v>0.63027935550066527</v>
      </c>
    </row>
    <row r="3656" spans="1:4">
      <c r="A3656">
        <v>1.0061910000000001</v>
      </c>
      <c r="B3656">
        <v>4.058376</v>
      </c>
      <c r="C3656">
        <f>LOG10(1.006191)</f>
        <v>2.6804284063286941E-3</v>
      </c>
      <c r="D3656">
        <f>LOG10(4.058376)</f>
        <v>0.60835228103160655</v>
      </c>
    </row>
    <row r="3657" spans="1:4">
      <c r="A3657">
        <v>1.015334</v>
      </c>
      <c r="B3657">
        <v>4.0385289999999996</v>
      </c>
      <c r="C3657">
        <f>LOG10(1.015334)</f>
        <v>6.6089294375112368E-3</v>
      </c>
      <c r="D3657">
        <f>LOG10(4.038529)</f>
        <v>0.60622320582444278</v>
      </c>
    </row>
    <row r="3658" spans="1:4">
      <c r="A3658">
        <v>1.0213019999999999</v>
      </c>
      <c r="B3658">
        <v>4.173578</v>
      </c>
      <c r="C3658">
        <f>LOG10(1.021302)</f>
        <v>9.1541823807460478E-3</v>
      </c>
      <c r="D3658">
        <f>LOG10(4.173578)</f>
        <v>0.62050853444275822</v>
      </c>
    </row>
    <row r="3659" spans="1:4">
      <c r="A3659">
        <v>1.0084649999999999</v>
      </c>
      <c r="B3659">
        <v>3.9168440000000002</v>
      </c>
      <c r="C3659">
        <f>LOG10(1.008465)</f>
        <v>3.6608300940136687E-3</v>
      </c>
      <c r="D3659">
        <f>LOG10(3.916844)</f>
        <v>0.59293627481865196</v>
      </c>
    </row>
    <row r="3660" spans="1:4">
      <c r="A3660">
        <v>1.00658</v>
      </c>
      <c r="B3660">
        <v>3.8070810000000002</v>
      </c>
      <c r="C3660">
        <f>LOG10(1.00658)</f>
        <v>2.8482970367528795E-3</v>
      </c>
      <c r="D3660">
        <f>LOG10(3.807081)</f>
        <v>0.58059211702419311</v>
      </c>
    </row>
    <row r="3661" spans="1:4">
      <c r="A3661">
        <v>1.0088200000000001</v>
      </c>
      <c r="B3661">
        <v>3.748237</v>
      </c>
      <c r="C3661">
        <f>LOG10(1.00882)</f>
        <v>3.8136836002532191E-3</v>
      </c>
      <c r="D3661">
        <f>LOG10(3.748237)</f>
        <v>0.57382704340520019</v>
      </c>
    </row>
    <row r="3662" spans="1:4">
      <c r="A3662">
        <v>1.0103059999999999</v>
      </c>
      <c r="B3662">
        <v>3.8306680000000002</v>
      </c>
      <c r="C3662">
        <f>LOG10(1.010306)</f>
        <v>4.452932182685534E-3</v>
      </c>
      <c r="D3662">
        <f>LOG10(3.830668)</f>
        <v>0.58327451376432904</v>
      </c>
    </row>
    <row r="3663" spans="1:4">
      <c r="A3663">
        <v>1.007085</v>
      </c>
      <c r="B3663">
        <v>3.941217</v>
      </c>
      <c r="C3663">
        <f>LOG10(1.007085)</f>
        <v>3.0661274285599246E-3</v>
      </c>
      <c r="D3663">
        <f>LOG10(3.941217)</f>
        <v>0.59563034740254461</v>
      </c>
    </row>
    <row r="3664" spans="1:4">
      <c r="A3664">
        <v>1.007582</v>
      </c>
      <c r="B3664">
        <v>3.8858350000000002</v>
      </c>
      <c r="C3664">
        <f>LOG10(1.007582)</f>
        <v>3.280400419465525E-3</v>
      </c>
      <c r="D3664">
        <f>LOG10(3.885835)</f>
        <v>0.58948435567939084</v>
      </c>
    </row>
    <row r="3665" spans="1:4">
      <c r="A3665">
        <v>1.00522</v>
      </c>
      <c r="B3665">
        <v>4.2344530000000002</v>
      </c>
      <c r="C3665">
        <f>LOG10(1.00522)</f>
        <v>2.2611207912403642E-3</v>
      </c>
      <c r="D3665">
        <f>LOG10(4.234453)</f>
        <v>0.62679731680965478</v>
      </c>
    </row>
    <row r="3666" spans="1:4">
      <c r="A3666">
        <v>1.0138020000000001</v>
      </c>
      <c r="B3666">
        <v>4.4216100000000003</v>
      </c>
      <c r="C3666">
        <f>LOG10(1.013802)</f>
        <v>5.9531436521364448E-3</v>
      </c>
      <c r="D3666">
        <f>LOG10(4.42161)</f>
        <v>0.64558043378375762</v>
      </c>
    </row>
    <row r="3667" spans="1:4">
      <c r="A3667">
        <v>1.01214</v>
      </c>
      <c r="B3667">
        <v>4.5451560000000004</v>
      </c>
      <c r="C3667">
        <f>LOG10(1.01214)</f>
        <v>5.2405886127089678E-3</v>
      </c>
      <c r="D3667">
        <f>LOG10(4.545156)</f>
        <v>0.65754879377943809</v>
      </c>
    </row>
    <row r="3668" spans="1:4">
      <c r="A3668">
        <v>1.013093</v>
      </c>
      <c r="B3668">
        <v>4.5178969999999996</v>
      </c>
      <c r="C3668">
        <f>LOG10(1.013093)</f>
        <v>5.6493145931787976E-3</v>
      </c>
      <c r="D3668">
        <f>LOG10(4.517897)</f>
        <v>0.65493632555699999</v>
      </c>
    </row>
    <row r="3669" spans="1:4">
      <c r="A3669">
        <v>1.0218609999999999</v>
      </c>
      <c r="B3669">
        <v>4.5597050000000001</v>
      </c>
      <c r="C3669">
        <f>LOG10(1.021861)</f>
        <v>9.391824332407657E-3</v>
      </c>
      <c r="D3669">
        <f>LOG10(4.559705)</f>
        <v>0.6589367459502965</v>
      </c>
    </row>
    <row r="3670" spans="1:4">
      <c r="A3670">
        <v>1.014303</v>
      </c>
      <c r="B3670">
        <v>4.5479969999999996</v>
      </c>
      <c r="C3670">
        <f>LOG10(1.014303)</f>
        <v>6.167709998414676E-3</v>
      </c>
      <c r="D3670">
        <f>LOG10(4.547997)</f>
        <v>0.65782016954167</v>
      </c>
    </row>
    <row r="3671" spans="1:4">
      <c r="A3671">
        <v>1.0140530000000001</v>
      </c>
      <c r="B3671">
        <v>4.528823</v>
      </c>
      <c r="C3671">
        <f>LOG10(1.014053)</f>
        <v>6.0606542142963649E-3</v>
      </c>
      <c r="D3671">
        <f>LOG10(4.528823)</f>
        <v>0.65598534748237547</v>
      </c>
    </row>
    <row r="3672" spans="1:4">
      <c r="A3672">
        <v>1.0149520000000001</v>
      </c>
      <c r="B3672">
        <v>4.4840809999999998</v>
      </c>
      <c r="C3672">
        <f>LOG10(1.014952)</f>
        <v>6.445503699418517E-3</v>
      </c>
      <c r="D3672">
        <f>LOG10(4.484081)</f>
        <v>0.65167344904677749</v>
      </c>
    </row>
    <row r="3673" spans="1:4">
      <c r="A3673">
        <v>1.0232060000000001</v>
      </c>
      <c r="B3673">
        <v>4.3962500000000002</v>
      </c>
      <c r="C3673">
        <f>LOG10(1.023206)</f>
        <v>9.9630781469573822E-3</v>
      </c>
      <c r="D3673">
        <f>LOG10(4.39625)</f>
        <v>0.64308238132499906</v>
      </c>
    </row>
    <row r="3674" spans="1:4">
      <c r="A3674">
        <v>1.0088779999999999</v>
      </c>
      <c r="B3674">
        <v>4.5581620000000003</v>
      </c>
      <c r="C3674">
        <f>LOG10(1.008878)</f>
        <v>3.8386517371669488E-3</v>
      </c>
      <c r="D3674">
        <f>LOG10(4.558162)</f>
        <v>0.65878975622298996</v>
      </c>
    </row>
    <row r="3675" spans="1:4">
      <c r="A3675">
        <v>1.017676</v>
      </c>
      <c r="B3675">
        <v>4.6144610000000004</v>
      </c>
      <c r="C3675">
        <f>LOG10(1.017676)</f>
        <v>7.6095326087180105E-3</v>
      </c>
      <c r="D3675">
        <f>LOG10(4.614461)</f>
        <v>0.66412097981555029</v>
      </c>
    </row>
    <row r="3676" spans="1:4">
      <c r="A3676">
        <v>1.016027</v>
      </c>
      <c r="B3676">
        <v>4.6042069999999997</v>
      </c>
      <c r="C3676">
        <f>LOG10(1.016027)</f>
        <v>6.9052490849149523E-3</v>
      </c>
      <c r="D3676">
        <f>LOG10(4.604207)</f>
        <v>0.6631548407911263</v>
      </c>
    </row>
    <row r="3677" spans="1:4">
      <c r="A3677">
        <v>1.012562</v>
      </c>
      <c r="B3677">
        <v>4.561871</v>
      </c>
      <c r="C3677">
        <f>LOG10(1.012562)</f>
        <v>5.4216249074496257E-3</v>
      </c>
      <c r="D3677">
        <f>LOG10(4.561871)</f>
        <v>0.65914300019089767</v>
      </c>
    </row>
    <row r="3678" spans="1:4">
      <c r="A3678">
        <v>1.0107900000000001</v>
      </c>
      <c r="B3678">
        <v>4.6994889999999998</v>
      </c>
      <c r="C3678">
        <f>LOG10(1.01079)</f>
        <v>4.6609366844601961E-3</v>
      </c>
      <c r="D3678">
        <f>LOG10(4.699489)</f>
        <v>0.67205063739416004</v>
      </c>
    </row>
    <row r="3679" spans="1:4">
      <c r="A3679">
        <v>1.013058</v>
      </c>
      <c r="B3679">
        <v>4.528816</v>
      </c>
      <c r="C3679">
        <f>LOG10(1.013058)</f>
        <v>5.6343104726881438E-3</v>
      </c>
      <c r="D3679">
        <f>LOG10(4.528816)</f>
        <v>0.65598467621221923</v>
      </c>
    </row>
    <row r="3680" spans="1:4">
      <c r="A3680">
        <v>1.013288</v>
      </c>
      <c r="B3680">
        <v>4.1726549999999998</v>
      </c>
      <c r="C3680">
        <f>LOG10(1.013288)</f>
        <v>5.7328994908189962E-3</v>
      </c>
      <c r="D3680">
        <f>LOG10(4.172655)</f>
        <v>0.62041247821992551</v>
      </c>
    </row>
    <row r="3681" spans="1:4">
      <c r="A3681">
        <v>1.0087109999999999</v>
      </c>
      <c r="B3681">
        <v>4.0681190000000003</v>
      </c>
      <c r="C3681">
        <f>LOG10(1.008711)</f>
        <v>3.7667568382123173E-3</v>
      </c>
      <c r="D3681">
        <f>LOG10(4.068119)</f>
        <v>0.60939364835283483</v>
      </c>
    </row>
    <row r="3682" spans="1:4">
      <c r="A3682">
        <v>1.0101150000000001</v>
      </c>
      <c r="B3682">
        <v>3.7452899999999998</v>
      </c>
      <c r="C3682">
        <f>LOG10(1.010115)</f>
        <v>4.3708203393711441E-3</v>
      </c>
      <c r="D3682">
        <f>LOG10(3.74529)</f>
        <v>0.57348545101375303</v>
      </c>
    </row>
    <row r="3683" spans="1:4">
      <c r="A3683">
        <v>1.00976</v>
      </c>
      <c r="B3683">
        <v>3.7133370000000001</v>
      </c>
      <c r="C3683">
        <f>LOG10(1.00976)</f>
        <v>4.2181628307004122E-3</v>
      </c>
      <c r="D3683">
        <f>LOG10(3.713337)</f>
        <v>0.56976436495439797</v>
      </c>
    </row>
    <row r="3684" spans="1:4">
      <c r="A3684">
        <v>1.0091289999999999</v>
      </c>
      <c r="B3684">
        <v>3.8026369999999998</v>
      </c>
      <c r="C3684">
        <f>LOG10(1.009129)</f>
        <v>3.946686957579811E-3</v>
      </c>
      <c r="D3684">
        <f>LOG10(3.802637)</f>
        <v>0.58008486960793293</v>
      </c>
    </row>
    <row r="3685" spans="1:4">
      <c r="A3685">
        <v>1.0104230000000001</v>
      </c>
      <c r="B3685">
        <v>3.7085560000000002</v>
      </c>
      <c r="C3685">
        <f>LOG10(1.010423)</f>
        <v>4.5032233938667706E-3</v>
      </c>
      <c r="D3685">
        <f>LOG10(3.708556)</f>
        <v>0.56920484133820382</v>
      </c>
    </row>
    <row r="3686" spans="1:4">
      <c r="A3686">
        <v>1.013307</v>
      </c>
      <c r="B3686">
        <v>3.8488470000000001</v>
      </c>
      <c r="C3686">
        <f>LOG10(1.013307)</f>
        <v>5.7410428003173411E-3</v>
      </c>
      <c r="D3686">
        <f>LOG10(3.848847)</f>
        <v>0.58533064729193551</v>
      </c>
    </row>
    <row r="3687" spans="1:4">
      <c r="A3687">
        <v>1.0138780000000001</v>
      </c>
      <c r="B3687">
        <v>3.962958</v>
      </c>
      <c r="C3687">
        <f>LOG10(1.013878)</f>
        <v>5.9856994603902994E-3</v>
      </c>
      <c r="D3687">
        <f>LOG10(3.962958)</f>
        <v>0.59801946964307262</v>
      </c>
    </row>
    <row r="3688" spans="1:4">
      <c r="A3688">
        <v>1.0129459999999999</v>
      </c>
      <c r="B3688">
        <v>3.954342</v>
      </c>
      <c r="C3688">
        <f>LOG10(1.012946)</f>
        <v>5.5862938033994728E-3</v>
      </c>
      <c r="D3688">
        <f>LOG10(3.954342)</f>
        <v>0.59707422751930972</v>
      </c>
    </row>
    <row r="3689" spans="1:4">
      <c r="A3689">
        <v>1.010742</v>
      </c>
      <c r="B3689">
        <v>3.965354</v>
      </c>
      <c r="C3689">
        <f>LOG10(1.010742)</f>
        <v>4.6403125883436912E-3</v>
      </c>
      <c r="D3689">
        <f>LOG10(3.965354)</f>
        <v>0.59828196425991376</v>
      </c>
    </row>
    <row r="3690" spans="1:4">
      <c r="A3690">
        <v>1.0067269999999999</v>
      </c>
      <c r="B3690">
        <v>3.838492</v>
      </c>
      <c r="C3690">
        <f>LOG10(1.006727)</f>
        <v>2.9117163652042097E-3</v>
      </c>
      <c r="D3690">
        <f>LOG10(3.838492)</f>
        <v>0.584160639808185</v>
      </c>
    </row>
    <row r="3691" spans="1:4">
      <c r="A3691">
        <v>1.0096449999999999</v>
      </c>
      <c r="B3691">
        <v>3.8456679999999999</v>
      </c>
      <c r="C3691">
        <f>LOG10(1.009645)</f>
        <v>4.1686988891206887E-3</v>
      </c>
      <c r="D3691">
        <f>LOG10(3.845668)</f>
        <v>0.58497178848497355</v>
      </c>
    </row>
    <row r="3692" spans="1:4">
      <c r="A3692">
        <v>1.0183120000000001</v>
      </c>
      <c r="B3692">
        <v>3.9417330000000002</v>
      </c>
      <c r="C3692">
        <f>LOG10(1.018312)</f>
        <v>7.8808616140704953E-3</v>
      </c>
      <c r="D3692">
        <f>LOG10(3.941733)</f>
        <v>0.59568720326309987</v>
      </c>
    </row>
    <row r="3693" spans="1:4">
      <c r="A3693">
        <v>1.013727</v>
      </c>
      <c r="B3693">
        <v>3.7672430000000001</v>
      </c>
      <c r="C3693">
        <f>LOG10(1.013727)</f>
        <v>5.9210138170932751E-3</v>
      </c>
      <c r="D3693">
        <f>LOG10(3.767243)</f>
        <v>0.57602363457953321</v>
      </c>
    </row>
    <row r="3694" spans="1:4">
      <c r="A3694">
        <v>1.0136179999999999</v>
      </c>
      <c r="B3694">
        <v>3.9263150000000002</v>
      </c>
      <c r="C3694">
        <f>LOG10(1.013618)</f>
        <v>5.8743142187781131E-3</v>
      </c>
      <c r="D3694">
        <f>LOG10(3.926315)</f>
        <v>0.59398513919520335</v>
      </c>
    </row>
    <row r="3695" spans="1:4">
      <c r="A3695">
        <v>1.007868</v>
      </c>
      <c r="B3695">
        <v>3.8176929999999998</v>
      </c>
      <c r="C3695">
        <f>LOG10(1.007868)</f>
        <v>3.4036564889865228E-3</v>
      </c>
      <c r="D3695">
        <f>LOG10(3.817693)</f>
        <v>0.58180100164627913</v>
      </c>
    </row>
    <row r="3696" spans="1:4">
      <c r="A3696">
        <v>1.010222</v>
      </c>
      <c r="B3696">
        <v>3.8713899999999999</v>
      </c>
      <c r="C3696">
        <f>LOG10(1.010222)</f>
        <v>4.4168220802757886E-3</v>
      </c>
      <c r="D3696">
        <f>LOG10(3.87139)</f>
        <v>0.58786692391940154</v>
      </c>
    </row>
    <row r="3697" spans="1:4">
      <c r="A3697">
        <v>1.0090699999999999</v>
      </c>
      <c r="B3697">
        <v>3.351658</v>
      </c>
      <c r="C3697">
        <f>LOG10(1.00907)</f>
        <v>3.9212946405292083E-3</v>
      </c>
      <c r="D3697">
        <f>LOG10(3.351658)</f>
        <v>0.52525969722243415</v>
      </c>
    </row>
    <row r="3698" spans="1:4">
      <c r="A3698">
        <v>1.012005</v>
      </c>
      <c r="B3698">
        <v>3.9858380000000002</v>
      </c>
      <c r="C3698">
        <f>LOG10(1.012005)</f>
        <v>5.1826582222044637E-3</v>
      </c>
      <c r="D3698">
        <f>LOG10(3.985838)</f>
        <v>0.60051964330179597</v>
      </c>
    </row>
    <row r="3699" spans="1:4">
      <c r="A3699">
        <v>1.017231</v>
      </c>
      <c r="B3699">
        <v>3.9449990000000001</v>
      </c>
      <c r="C3699">
        <f>LOG10(1.017231)</f>
        <v>7.4195867806996375E-3</v>
      </c>
      <c r="D3699">
        <f>LOG10(3.944999)</f>
        <v>0.59604689745810402</v>
      </c>
    </row>
    <row r="3700" spans="1:4">
      <c r="A3700">
        <v>1.015382</v>
      </c>
      <c r="B3700">
        <v>3.907985</v>
      </c>
      <c r="C3700">
        <f>LOG10(1.015382)</f>
        <v>6.6294602602705588E-3</v>
      </c>
      <c r="D3700">
        <f>LOG10(3.907985)</f>
        <v>0.59195288809951674</v>
      </c>
    </row>
    <row r="3701" spans="1:4">
      <c r="A3701">
        <v>1.00708</v>
      </c>
      <c r="B3701">
        <v>3.9733930000000002</v>
      </c>
      <c r="C3701">
        <f>LOG10(1.00708)</f>
        <v>3.0639712274447878E-3</v>
      </c>
      <c r="D3701">
        <f>LOG10(3.973393)</f>
        <v>0.59916152233963693</v>
      </c>
    </row>
    <row r="3702" spans="1:4">
      <c r="A3702">
        <v>1.007457</v>
      </c>
      <c r="B3702">
        <v>3.9304619999999999</v>
      </c>
      <c r="C3702">
        <f>LOG10(1.007457)</f>
        <v>3.2265187722045922E-3</v>
      </c>
      <c r="D3702">
        <f>LOG10(3.930462)</f>
        <v>0.594443601840562</v>
      </c>
    </row>
    <row r="3703" spans="1:4">
      <c r="A3703">
        <v>1.0082709999999999</v>
      </c>
      <c r="B3703">
        <v>4.0440579999999997</v>
      </c>
      <c r="C3703">
        <f>LOG10(1.008271)</f>
        <v>3.5772761437206E-3</v>
      </c>
      <c r="D3703">
        <f>LOG10(4.044058)</f>
        <v>0.60681737562799365</v>
      </c>
    </row>
    <row r="3704" spans="1:4">
      <c r="A3704">
        <v>1.020492</v>
      </c>
      <c r="B3704">
        <v>4.2147009999999998</v>
      </c>
      <c r="C3704">
        <f>LOG10(1.020492)</f>
        <v>8.809604476417026E-3</v>
      </c>
      <c r="D3704">
        <f>LOG10(4.214701)</f>
        <v>0.62476677026419081</v>
      </c>
    </row>
    <row r="3705" spans="1:4">
      <c r="A3705">
        <v>1.0126500000000001</v>
      </c>
      <c r="B3705">
        <v>3.9419559999999998</v>
      </c>
      <c r="C3705">
        <f>LOG10(1.01265)</f>
        <v>5.4593670445015272E-3</v>
      </c>
      <c r="D3705">
        <f>LOG10(3.941956)</f>
        <v>0.59571177238790685</v>
      </c>
    </row>
    <row r="3706" spans="1:4">
      <c r="A3706">
        <v>1.025787</v>
      </c>
      <c r="B3706">
        <v>4.1078330000000003</v>
      </c>
      <c r="C3706">
        <f>LOG10(1.025787)</f>
        <v>1.1057190865394785E-2</v>
      </c>
      <c r="D3706">
        <f>LOG10(4.107833)</f>
        <v>0.61361277945963222</v>
      </c>
    </row>
    <row r="3707" spans="1:4">
      <c r="A3707">
        <v>1.0182979999999999</v>
      </c>
      <c r="B3707">
        <v>3.9618350000000002</v>
      </c>
      <c r="C3707">
        <f>LOG10(1.018298)</f>
        <v>7.8748907873075723E-3</v>
      </c>
      <c r="D3707">
        <f>LOG10(3.961835)</f>
        <v>0.59789638435707415</v>
      </c>
    </row>
    <row r="3708" spans="1:4">
      <c r="A3708">
        <v>1.0060500000000001</v>
      </c>
      <c r="B3708">
        <v>3.8416950000000001</v>
      </c>
      <c r="C3708">
        <f>LOG10(1.00605)</f>
        <v>2.6195653963328172E-3</v>
      </c>
      <c r="D3708">
        <f>LOG10(3.841695)</f>
        <v>0.58452288236977457</v>
      </c>
    </row>
    <row r="3709" spans="1:4">
      <c r="A3709">
        <v>1.0110049999999999</v>
      </c>
      <c r="B3709">
        <v>3.7627809999999999</v>
      </c>
      <c r="C3709">
        <f>LOG10(1.011005)</f>
        <v>4.753303431792249E-3</v>
      </c>
      <c r="D3709">
        <f>LOG10(3.762781)</f>
        <v>0.57550894240722117</v>
      </c>
    </row>
    <row r="3710" spans="1:4">
      <c r="A3710">
        <v>1.0091699999999999</v>
      </c>
      <c r="B3710">
        <v>3.6636229999999999</v>
      </c>
      <c r="C3710">
        <f>LOG10(1.00917)</f>
        <v>3.9643315917598457E-3</v>
      </c>
      <c r="D3710">
        <f>LOG10(3.663623)</f>
        <v>0.56391077682890733</v>
      </c>
    </row>
    <row r="3711" spans="1:4">
      <c r="A3711">
        <v>1.0974109999999999</v>
      </c>
      <c r="B3711">
        <v>3.7895439999999998</v>
      </c>
      <c r="C3711">
        <f>LOG10(1.097411)</f>
        <v>4.0369309072524756E-2</v>
      </c>
      <c r="D3711">
        <f>LOG10(3.789544)</f>
        <v>0.57858695397906112</v>
      </c>
    </row>
    <row r="3712" spans="1:4">
      <c r="A3712">
        <v>1.0065980000000001</v>
      </c>
      <c r="B3712">
        <v>3.9114979999999999</v>
      </c>
      <c r="C3712">
        <f>LOG10(1.006598)</f>
        <v>2.8560631663991391E-3</v>
      </c>
      <c r="D3712">
        <f>LOG10(3.911498)</f>
        <v>0.59234311252166127</v>
      </c>
    </row>
    <row r="3713" spans="1:4">
      <c r="A3713">
        <v>1.008208</v>
      </c>
      <c r="B3713">
        <v>3.877567</v>
      </c>
      <c r="C3713">
        <f>LOG10(1.008208)</f>
        <v>3.5501391863123908E-3</v>
      </c>
      <c r="D3713">
        <f>LOG10(3.877567)</f>
        <v>0.58855931067104506</v>
      </c>
    </row>
    <row r="3714" spans="1:4">
      <c r="A3714">
        <v>1.0123310000000001</v>
      </c>
      <c r="B3714">
        <v>4.1638279999999996</v>
      </c>
      <c r="C3714">
        <f>LOG10(1.012331)</f>
        <v>5.3225361894237338E-3</v>
      </c>
      <c r="D3714">
        <f>LOG10(4.163828)</f>
        <v>0.61949278131071339</v>
      </c>
    </row>
    <row r="3715" spans="1:4">
      <c r="A3715">
        <v>1.019566</v>
      </c>
      <c r="B3715">
        <v>4.3543060000000002</v>
      </c>
      <c r="C3715">
        <f>LOG10(1.019566)</f>
        <v>8.415344393751141E-3</v>
      </c>
      <c r="D3715">
        <f>LOG10(4.354306)</f>
        <v>0.63891894593653364</v>
      </c>
    </row>
    <row r="3716" spans="1:4">
      <c r="A3716">
        <v>1.0124420000000001</v>
      </c>
      <c r="B3716">
        <v>4.3878250000000003</v>
      </c>
      <c r="C3716">
        <f>LOG10(1.012442)</f>
        <v>5.3701530704662421E-3</v>
      </c>
      <c r="D3716">
        <f>LOG10(4.387825)</f>
        <v>0.64224929824408172</v>
      </c>
    </row>
    <row r="3717" spans="1:4">
      <c r="A3717">
        <v>1.0157970000000001</v>
      </c>
      <c r="B3717">
        <v>4.3655679999999997</v>
      </c>
      <c r="C3717">
        <f>LOG10(1.015797)</f>
        <v>6.8069258726048505E-3</v>
      </c>
      <c r="D3717">
        <f>LOG10(4.365568)</f>
        <v>0.64004075736974886</v>
      </c>
    </row>
    <row r="3718" spans="1:4">
      <c r="A3718">
        <v>1.0155160000000001</v>
      </c>
      <c r="B3718">
        <v>4.3973259999999996</v>
      </c>
      <c r="C3718">
        <f>LOG10(1.015516)</f>
        <v>6.6867703375462469E-3</v>
      </c>
      <c r="D3718">
        <f>LOG10(4.397326)</f>
        <v>0.64318866365311211</v>
      </c>
    </row>
    <row r="3719" spans="1:4">
      <c r="A3719">
        <v>1.0146869999999999</v>
      </c>
      <c r="B3719">
        <v>4.3118610000000004</v>
      </c>
      <c r="C3719">
        <f>LOG10(1.014687)</f>
        <v>6.3320963019863445E-3</v>
      </c>
      <c r="D3719">
        <f>LOG10(4.311861)</f>
        <v>0.63466475220048468</v>
      </c>
    </row>
    <row r="3720" spans="1:4">
      <c r="A3720">
        <v>1.010049</v>
      </c>
      <c r="B3720">
        <v>4.501487</v>
      </c>
      <c r="C3720">
        <f>LOG10(1.010049)</f>
        <v>4.3424430038519826E-3</v>
      </c>
      <c r="D3720">
        <f>LOG10(4.501487)</f>
        <v>0.65335600026828966</v>
      </c>
    </row>
    <row r="3721" spans="1:4">
      <c r="A3721">
        <v>1.0136909999999999</v>
      </c>
      <c r="B3721">
        <v>4.2092340000000004</v>
      </c>
      <c r="C3721">
        <f>LOG10(1.013691)</f>
        <v>5.9055906519144873E-3</v>
      </c>
      <c r="D3721">
        <f>LOG10(4.209234)</f>
        <v>0.62420306974515805</v>
      </c>
    </row>
    <row r="3722" spans="1:4">
      <c r="A3722">
        <v>1.0217750000000001</v>
      </c>
      <c r="B3722">
        <v>4.2447280000000003</v>
      </c>
      <c r="C3722">
        <f>LOG10(1.021775)</f>
        <v>9.3552724949320567E-3</v>
      </c>
      <c r="D3722">
        <f>LOG10(4.244728)</f>
        <v>0.62784986610322457</v>
      </c>
    </row>
    <row r="3723" spans="1:4">
      <c r="A3723">
        <v>1.010124</v>
      </c>
      <c r="B3723">
        <v>4.4519679999999999</v>
      </c>
      <c r="C3723">
        <f>LOG10(1.010124)</f>
        <v>4.3746898323738263E-3</v>
      </c>
      <c r="D3723">
        <f>LOG10(4.451968)</f>
        <v>0.64855203403792516</v>
      </c>
    </row>
    <row r="3724" spans="1:4">
      <c r="A3724">
        <v>1.013695</v>
      </c>
      <c r="B3724">
        <v>4.4006879999999997</v>
      </c>
      <c r="C3724">
        <f>LOG10(1.013695)</f>
        <v>5.9073043639828009E-3</v>
      </c>
      <c r="D3724">
        <f>LOG10(4.400688)</f>
        <v>0.64352057904202353</v>
      </c>
    </row>
    <row r="3725" spans="1:4">
      <c r="A3725">
        <v>1.0132319999999999</v>
      </c>
      <c r="B3725">
        <v>4.4193550000000004</v>
      </c>
      <c r="C3725">
        <f>LOG10(1.013232)</f>
        <v>5.708897269283756E-3</v>
      </c>
      <c r="D3725">
        <f>LOG10(4.419355)</f>
        <v>0.64535888917229745</v>
      </c>
    </row>
    <row r="3726" spans="1:4">
      <c r="A3726">
        <v>1.010678</v>
      </c>
      <c r="B3726">
        <v>4.3688549999999999</v>
      </c>
      <c r="C3726">
        <f>LOG10(1.010678)</f>
        <v>4.6128122699030678E-3</v>
      </c>
      <c r="D3726">
        <f>LOG10(4.368855)</f>
        <v>0.64036763094328786</v>
      </c>
    </row>
    <row r="3727" spans="1:4">
      <c r="A3727">
        <v>1.027555</v>
      </c>
      <c r="B3727">
        <v>4.4596289999999996</v>
      </c>
      <c r="C3727">
        <f>LOG10(1.027555)</f>
        <v>1.180507683252293E-2</v>
      </c>
      <c r="D3727">
        <f>LOG10(4.459629)</f>
        <v>0.64929873091963408</v>
      </c>
    </row>
    <row r="3728" spans="1:4">
      <c r="A3728">
        <v>1.063415</v>
      </c>
      <c r="B3728">
        <v>4.1991319999999996</v>
      </c>
      <c r="C3728">
        <f>LOG10(1.063415)</f>
        <v>2.6702781962064017E-2</v>
      </c>
      <c r="D3728">
        <f>LOG10(4.199132)</f>
        <v>0.62315952692909582</v>
      </c>
    </row>
    <row r="3729" spans="1:4">
      <c r="A3729">
        <v>1.0595699999999999</v>
      </c>
      <c r="B3729">
        <v>3.7760989999999999</v>
      </c>
      <c r="C3729">
        <f>LOG10(1.05957)</f>
        <v>2.5129653457865629E-2</v>
      </c>
      <c r="D3729">
        <f>LOG10(3.776099)</f>
        <v>0.57704337190518651</v>
      </c>
    </row>
    <row r="3730" spans="1:4">
      <c r="A3730">
        <v>1.0516719999999999</v>
      </c>
      <c r="B3730">
        <v>3.6621980000000001</v>
      </c>
      <c r="C3730">
        <f>LOG10(1.051672)</f>
        <v>2.1880311299188264E-2</v>
      </c>
      <c r="D3730">
        <f>LOG10(3.662198)</f>
        <v>0.56374182111881899</v>
      </c>
    </row>
    <row r="3731" spans="1:4">
      <c r="A3731">
        <v>1.0484309999999999</v>
      </c>
      <c r="B3731">
        <v>3.5043609999999998</v>
      </c>
      <c r="C3731">
        <f>LOG10(1.048431)</f>
        <v>2.0539853680417625E-2</v>
      </c>
      <c r="D3731">
        <f>LOG10(3.504361)</f>
        <v>0.54460883842993779</v>
      </c>
    </row>
    <row r="3732" spans="1:4">
      <c r="A3732">
        <v>1.0451170000000001</v>
      </c>
      <c r="B3732">
        <v>3.524553</v>
      </c>
      <c r="C3732">
        <f>LOG10(1.045117)</f>
        <v>1.9164912083503481E-2</v>
      </c>
      <c r="D3732">
        <f>LOG10(3.524553)</f>
        <v>0.5471040455988796</v>
      </c>
    </row>
    <row r="3733" spans="1:4">
      <c r="A3733">
        <v>1.0492840000000001</v>
      </c>
      <c r="B3733">
        <v>3.4588860000000001</v>
      </c>
      <c r="C3733">
        <f>LOG10(1.049284)</f>
        <v>2.0893050576546755E-2</v>
      </c>
      <c r="D3733">
        <f>LOG10(3.458886)</f>
        <v>0.5389362485171626</v>
      </c>
    </row>
    <row r="3734" spans="1:4">
      <c r="A3734">
        <v>1.0266109999999999</v>
      </c>
      <c r="B3734">
        <v>3.497255</v>
      </c>
      <c r="C3734">
        <f>LOG10(1.026611)</f>
        <v>1.1405913357149012E-2</v>
      </c>
      <c r="D3734">
        <f>LOG10(3.497255)</f>
        <v>0.54372729975429346</v>
      </c>
    </row>
    <row r="3735" spans="1:4">
      <c r="A3735">
        <v>1.023263</v>
      </c>
      <c r="B3735">
        <v>3.541417</v>
      </c>
      <c r="C3735">
        <f>LOG10(1.023263)</f>
        <v>9.9872708275940067E-3</v>
      </c>
      <c r="D3735">
        <f>LOG10(3.541417)</f>
        <v>0.54917706771723929</v>
      </c>
    </row>
    <row r="3736" spans="1:4">
      <c r="A3736">
        <v>1.0259180000000001</v>
      </c>
      <c r="B3736">
        <v>3.6979660000000001</v>
      </c>
      <c r="C3736">
        <f>LOG10(1.025918)</f>
        <v>1.1112649693254231E-2</v>
      </c>
      <c r="D3736">
        <f>LOG10(3.697966)</f>
        <v>0.56796291383227659</v>
      </c>
    </row>
    <row r="3737" spans="1:4">
      <c r="A3737">
        <v>1.0203880000000001</v>
      </c>
      <c r="B3737">
        <v>3.7758699999999998</v>
      </c>
      <c r="C3737">
        <f>LOG10(1.020388)</f>
        <v>8.7653425637548594E-3</v>
      </c>
      <c r="D3737">
        <f>LOG10(3.77587)</f>
        <v>0.57701703349294298</v>
      </c>
    </row>
    <row r="3738" spans="1:4">
      <c r="A3738">
        <v>1.0191859999999999</v>
      </c>
      <c r="B3738">
        <v>4.0264220000000002</v>
      </c>
      <c r="C3738">
        <f>LOG10(1.019186)</f>
        <v>8.2534493667597627E-3</v>
      </c>
      <c r="D3738">
        <f>LOG10(4.026422)</f>
        <v>0.604919290340727</v>
      </c>
    </row>
    <row r="3739" spans="1:4">
      <c r="A3739">
        <v>1.0164070000000001</v>
      </c>
      <c r="B3739">
        <v>4.0177550000000002</v>
      </c>
      <c r="C3739">
        <f>LOG10(1.016407)</f>
        <v>7.0676473768607308E-3</v>
      </c>
      <c r="D3739">
        <f>LOG10(4.017755)</f>
        <v>0.60398345023399092</v>
      </c>
    </row>
    <row r="3740" spans="1:4">
      <c r="A3740">
        <v>1.0152490000000001</v>
      </c>
      <c r="B3740">
        <v>3.906857</v>
      </c>
      <c r="C3740">
        <f>LOG10(1.015249)</f>
        <v>6.5725703908893649E-3</v>
      </c>
      <c r="D3740">
        <f>LOG10(3.906857)</f>
        <v>0.59182751533344191</v>
      </c>
    </row>
    <row r="3741" spans="1:4">
      <c r="A3741">
        <v>1.0167470000000001</v>
      </c>
      <c r="B3741">
        <v>4.0294059999999998</v>
      </c>
      <c r="C3741">
        <f>LOG10(1.016747)</f>
        <v>7.2128996550684362E-3</v>
      </c>
      <c r="D3741">
        <f>LOG10(4.029406)</f>
        <v>0.60524102878729513</v>
      </c>
    </row>
    <row r="3742" spans="1:4">
      <c r="A3742">
        <v>1.0236130000000001</v>
      </c>
      <c r="B3742">
        <v>4.0969819999999997</v>
      </c>
      <c r="C3742">
        <f>LOG10(1.023613)</f>
        <v>1.0135792838841987E-2</v>
      </c>
      <c r="D3742">
        <f>LOG10(4.096982)</f>
        <v>0.61246405589411201</v>
      </c>
    </row>
    <row r="3743" spans="1:4">
      <c r="A3743">
        <v>1.010507</v>
      </c>
      <c r="B3743">
        <v>4.1255059999999997</v>
      </c>
      <c r="C3743">
        <f>LOG10(1.010507)</f>
        <v>4.5393263133156085E-3</v>
      </c>
      <c r="D3743">
        <f>LOG10(4.125506)</f>
        <v>0.61547722307521913</v>
      </c>
    </row>
    <row r="3744" spans="1:4">
      <c r="A3744">
        <v>1.010389</v>
      </c>
      <c r="B3744">
        <v>3.8401860000000001</v>
      </c>
      <c r="C3744">
        <f>LOG10(1.010389)</f>
        <v>4.4886094541374509E-3</v>
      </c>
      <c r="D3744">
        <f>LOG10(3.840186)</f>
        <v>0.58435225999704543</v>
      </c>
    </row>
    <row r="3745" spans="1:4">
      <c r="A3745">
        <v>1.008618</v>
      </c>
      <c r="B3745">
        <v>4.0986019999999996</v>
      </c>
      <c r="C3745">
        <f>LOG10(1.008618)</f>
        <v>3.7267143990806027E-3</v>
      </c>
      <c r="D3745">
        <f>LOG10(4.098602)</f>
        <v>0.61263574764172801</v>
      </c>
    </row>
    <row r="3746" spans="1:4">
      <c r="A3746">
        <v>1.0068109999999999</v>
      </c>
      <c r="B3746">
        <v>3.8609469999999999</v>
      </c>
      <c r="C3746">
        <f>LOG10(1.006811)</f>
        <v>2.9479518238854211E-3</v>
      </c>
      <c r="D3746">
        <f>LOG10(3.860947)</f>
        <v>0.58669384001681679</v>
      </c>
    </row>
    <row r="3747" spans="1:4">
      <c r="A3747">
        <v>1.009099</v>
      </c>
      <c r="B3747">
        <v>3.7917670000000001</v>
      </c>
      <c r="C3747">
        <f>LOG10(1.009099)</f>
        <v>3.9337757954533851E-3</v>
      </c>
      <c r="D3747">
        <f>LOG10(3.791767)</f>
        <v>0.57884164255757742</v>
      </c>
    </row>
    <row r="3748" spans="1:4">
      <c r="A3748">
        <v>1.0105919999999999</v>
      </c>
      <c r="B3748">
        <v>3.9460449999999998</v>
      </c>
      <c r="C3748">
        <f>LOG10(1.010592)</f>
        <v>4.5758559746369911E-3</v>
      </c>
      <c r="D3748">
        <f>LOG10(3.946045)</f>
        <v>0.59616203356195319</v>
      </c>
    </row>
    <row r="3749" spans="1:4">
      <c r="A3749">
        <v>1.009722</v>
      </c>
      <c r="B3749">
        <v>3.9190420000000001</v>
      </c>
      <c r="C3749">
        <f>LOG10(1.009722)</f>
        <v>4.2018188471301069E-3</v>
      </c>
      <c r="D3749">
        <f>LOG10(3.919042)</f>
        <v>0.59317991779565793</v>
      </c>
    </row>
    <row r="3750" spans="1:4">
      <c r="A3750">
        <v>1.012041</v>
      </c>
      <c r="B3750">
        <v>4.011012</v>
      </c>
      <c r="C3750">
        <f>LOG10(1.012041)</f>
        <v>5.1981070819143056E-3</v>
      </c>
      <c r="D3750">
        <f>LOG10(4.011012)</f>
        <v>0.60325396129004549</v>
      </c>
    </row>
    <row r="3751" spans="1:4">
      <c r="A3751">
        <v>1.0071540000000001</v>
      </c>
      <c r="B3751">
        <v>4.0638620000000003</v>
      </c>
      <c r="C3751">
        <f>LOG10(1.007154)</f>
        <v>3.0958819107867984E-3</v>
      </c>
      <c r="D3751">
        <f>LOG10(4.063862)</f>
        <v>0.60893895182111812</v>
      </c>
    </row>
    <row r="3752" spans="1:4">
      <c r="A3752">
        <v>1.008559</v>
      </c>
      <c r="B3752">
        <v>4.0802019999999999</v>
      </c>
      <c r="C3752">
        <f>LOG10(1.008559)</f>
        <v>3.7013092170468868E-3</v>
      </c>
      <c r="D3752">
        <f>LOG10(4.080202)</f>
        <v>0.6106816643922649</v>
      </c>
    </row>
    <row r="3753" spans="1:4">
      <c r="A3753">
        <v>1.0156050000000001</v>
      </c>
      <c r="B3753">
        <v>4.064044</v>
      </c>
      <c r="C3753">
        <f>LOG10(1.015605)</f>
        <v>6.7248303141937528E-3</v>
      </c>
      <c r="D3753">
        <f>LOG10(4.064044)</f>
        <v>0.60895840125759515</v>
      </c>
    </row>
    <row r="3754" spans="1:4">
      <c r="A3754">
        <v>1.0112939999999999</v>
      </c>
      <c r="B3754">
        <v>4.00671</v>
      </c>
      <c r="C3754">
        <f>LOG10(1.011294)</f>
        <v>4.8774305822526336E-3</v>
      </c>
      <c r="D3754">
        <f>LOG10(4.00671)</f>
        <v>0.60278790995016496</v>
      </c>
    </row>
    <row r="3755" spans="1:4">
      <c r="A3755">
        <v>1.0135799999999999</v>
      </c>
      <c r="B3755">
        <v>4.0180499999999997</v>
      </c>
      <c r="C3755">
        <f>LOG10(1.01358)</f>
        <v>5.8580324443147907E-3</v>
      </c>
      <c r="D3755">
        <f>LOG10(4.01805)</f>
        <v>0.60401533674000218</v>
      </c>
    </row>
    <row r="3756" spans="1:4">
      <c r="A3756">
        <v>1.0100039999999999</v>
      </c>
      <c r="B3756">
        <v>3.5197400000000001</v>
      </c>
      <c r="C3756">
        <f>LOG10(1.010004)</f>
        <v>4.3230937573827954E-3</v>
      </c>
      <c r="D3756">
        <f>LOG10(3.51974)</f>
        <v>0.54651058372366679</v>
      </c>
    </row>
    <row r="3757" spans="1:4">
      <c r="A3757">
        <v>1.009555</v>
      </c>
      <c r="B3757">
        <v>3.6931090000000002</v>
      </c>
      <c r="C3757">
        <f>LOG10(1.009555)</f>
        <v>4.1299840481964179E-3</v>
      </c>
      <c r="D3757">
        <f>LOG10(3.693109)</f>
        <v>0.56739212579339471</v>
      </c>
    </row>
    <row r="3758" spans="1:4">
      <c r="A3758">
        <v>1.0075719999999999</v>
      </c>
      <c r="B3758">
        <v>3.9621620000000002</v>
      </c>
      <c r="C3758">
        <f>LOG10(1.007572)</f>
        <v>3.2760901336818114E-3</v>
      </c>
      <c r="D3758">
        <f>LOG10(3.962162)</f>
        <v>0.59793222846344196</v>
      </c>
    </row>
    <row r="3759" spans="1:4">
      <c r="A3759">
        <v>1.007633</v>
      </c>
      <c r="B3759">
        <v>3.8563010000000002</v>
      </c>
      <c r="C3759">
        <f>LOG10(1.007633)</f>
        <v>3.3023822115639408E-3</v>
      </c>
      <c r="D3759">
        <f>LOG10(3.856301)</f>
        <v>0.58617092500703871</v>
      </c>
    </row>
    <row r="3760" spans="1:4">
      <c r="A3760">
        <v>1.006678</v>
      </c>
      <c r="B3760">
        <v>4.0302870000000004</v>
      </c>
      <c r="C3760">
        <f>LOG10(1.006678)</f>
        <v>2.8905776180396343E-3</v>
      </c>
      <c r="D3760">
        <f>LOG10(4.030287)</f>
        <v>0.60533597370395154</v>
      </c>
    </row>
    <row r="3761" spans="1:4">
      <c r="A3761">
        <v>1.010483</v>
      </c>
      <c r="B3761">
        <v>4.3456130000000002</v>
      </c>
      <c r="C3761">
        <f>LOG10(1.010483)</f>
        <v>4.5290114997181352E-3</v>
      </c>
      <c r="D3761">
        <f>LOG10(4.345613)</f>
        <v>0.63805104746813979</v>
      </c>
    </row>
    <row r="3762" spans="1:4">
      <c r="A3762">
        <v>1.0162059999999999</v>
      </c>
      <c r="B3762">
        <v>4.4749460000000001</v>
      </c>
      <c r="C3762">
        <f>LOG10(1.016206)</f>
        <v>6.9817547931301889E-3</v>
      </c>
      <c r="D3762">
        <f>LOG10(4.474946)</f>
        <v>0.65078779897181427</v>
      </c>
    </row>
    <row r="3763" spans="1:4">
      <c r="A3763">
        <v>1.014424</v>
      </c>
      <c r="B3763">
        <v>4.8503049999999996</v>
      </c>
      <c r="C3763">
        <f>LOG10(1.014424)</f>
        <v>6.2195155221471659E-3</v>
      </c>
      <c r="D3763">
        <f>LOG10(4.850305)</f>
        <v>0.68576904904601244</v>
      </c>
    </row>
    <row r="3764" spans="1:4">
      <c r="A3764">
        <v>1.018383</v>
      </c>
      <c r="B3764">
        <v>4.7077299999999997</v>
      </c>
      <c r="C3764">
        <f>LOG10(1.018383)</f>
        <v>7.9111409717824675E-3</v>
      </c>
      <c r="D3764">
        <f>LOG10(4.70773)</f>
        <v>0.67281154701918555</v>
      </c>
    </row>
    <row r="3765" spans="1:4">
      <c r="A3765">
        <v>1.0159130000000001</v>
      </c>
      <c r="B3765">
        <v>4.6219749999999999</v>
      </c>
      <c r="C3765">
        <f>LOG10(1.015913)</f>
        <v>6.8565177532920749E-3</v>
      </c>
      <c r="D3765">
        <f>LOG10(4.621975)</f>
        <v>0.66482759207528197</v>
      </c>
    </row>
    <row r="3766" spans="1:4">
      <c r="A3766">
        <v>1.0151110000000001</v>
      </c>
      <c r="B3766">
        <v>4.7216170000000002</v>
      </c>
      <c r="C3766">
        <f>LOG10(1.015111)</f>
        <v>6.5135339258339791E-3</v>
      </c>
      <c r="D3766">
        <f>LOG10(4.721617)</f>
        <v>0.67409075581924016</v>
      </c>
    </row>
    <row r="3767" spans="1:4">
      <c r="A3767">
        <v>1.073237</v>
      </c>
      <c r="B3767">
        <v>4.6994670000000003</v>
      </c>
      <c r="C3767">
        <f>LOG10(1.073237)</f>
        <v>3.0695636622747543E-2</v>
      </c>
      <c r="D3767">
        <f>LOG10(4.699467)</f>
        <v>0.67204860430056934</v>
      </c>
    </row>
    <row r="3768" spans="1:4">
      <c r="A3768">
        <v>1.19045</v>
      </c>
      <c r="B3768">
        <v>4.63781</v>
      </c>
      <c r="C3768">
        <f>LOG10(1.19045)</f>
        <v>7.5711159354415664E-2</v>
      </c>
      <c r="D3768">
        <f>LOG10(4.63781)</f>
        <v>0.66631295265863533</v>
      </c>
    </row>
    <row r="3769" spans="1:4">
      <c r="A3769">
        <v>1.0155320000000001</v>
      </c>
      <c r="B3769">
        <v>4.6302940000000001</v>
      </c>
      <c r="C3769">
        <f>LOG10(1.015532)</f>
        <v>6.6936128264589679E-3</v>
      </c>
      <c r="D3769">
        <f>LOG10(4.630294)</f>
        <v>0.66560856737302831</v>
      </c>
    </row>
    <row r="3770" spans="1:4">
      <c r="A3770">
        <v>1.0162800000000001</v>
      </c>
      <c r="B3770">
        <v>4.752427</v>
      </c>
      <c r="C3770">
        <f>LOG10(1.01628)</f>
        <v>7.0133789142066416E-3</v>
      </c>
      <c r="D3770">
        <f>LOG10(4.752427)</f>
        <v>0.67691545457679281</v>
      </c>
    </row>
    <row r="3771" spans="1:4">
      <c r="A3771">
        <v>1.0104249999999999</v>
      </c>
      <c r="B3771">
        <v>4.8003749999999998</v>
      </c>
      <c r="C3771">
        <f>LOG10(1.010425)</f>
        <v>4.5040830220661552E-3</v>
      </c>
      <c r="D3771">
        <f>LOG10(4.800375)</f>
        <v>0.6812751653066933</v>
      </c>
    </row>
    <row r="3772" spans="1:4">
      <c r="A3772">
        <v>1.011239</v>
      </c>
      <c r="B3772">
        <v>4.6443139999999996</v>
      </c>
      <c r="C3772">
        <f>LOG10(1.011239)</f>
        <v>4.853810501383218E-3</v>
      </c>
      <c r="D3772">
        <f>LOG10(4.644314)</f>
        <v>0.66692157451556899</v>
      </c>
    </row>
    <row r="3773" spans="1:4">
      <c r="A3773">
        <v>1.0271729999999999</v>
      </c>
      <c r="B3773">
        <v>4.7412700000000001</v>
      </c>
      <c r="C3773">
        <f>LOG10(1.027173)</f>
        <v>1.1643595123996589E-2</v>
      </c>
      <c r="D3773">
        <f>LOG10(4.74127)</f>
        <v>0.67589468769003358</v>
      </c>
    </row>
    <row r="3774" spans="1:4">
      <c r="A3774">
        <v>1.027358</v>
      </c>
      <c r="B3774">
        <v>4.5281029999999998</v>
      </c>
      <c r="C3774">
        <f>LOG10(1.027358)</f>
        <v>1.172180711434309E-2</v>
      </c>
      <c r="D3774">
        <f>LOG10(4.528103)</f>
        <v>0.65591629711636179</v>
      </c>
    </row>
    <row r="3775" spans="1:4">
      <c r="A3775">
        <v>1.0119860000000001</v>
      </c>
      <c r="B3775">
        <v>4.3126160000000002</v>
      </c>
      <c r="C3775">
        <f>LOG10(1.011986)</f>
        <v>5.1745044357929624E-3</v>
      </c>
      <c r="D3775">
        <f>LOG10(4.312616)</f>
        <v>0.63474078981637128</v>
      </c>
    </row>
    <row r="3776" spans="1:4">
      <c r="A3776">
        <v>1.036321</v>
      </c>
      <c r="B3776">
        <v>3.9821019999999998</v>
      </c>
      <c r="C3776">
        <f>LOG10(1.036321)</f>
        <v>1.5494298783340077E-2</v>
      </c>
      <c r="D3776">
        <f>LOG10(3.982102)</f>
        <v>0.60011238011876655</v>
      </c>
    </row>
    <row r="3777" spans="1:4">
      <c r="A3777">
        <v>1.034767</v>
      </c>
      <c r="B3777">
        <v>3.9156439999999999</v>
      </c>
      <c r="C3777">
        <f>LOG10(1.034767)</f>
        <v>1.484257007694832E-2</v>
      </c>
      <c r="D3777">
        <f>LOG10(3.915644)</f>
        <v>0.59280320001984943</v>
      </c>
    </row>
    <row r="3778" spans="1:4">
      <c r="A3778">
        <v>1.0109809999999999</v>
      </c>
      <c r="B3778">
        <v>3.9375749999999998</v>
      </c>
      <c r="C3778">
        <f>LOG10(1.010981)</f>
        <v>4.7429936991173665E-3</v>
      </c>
      <c r="D3778">
        <f>LOG10(3.937575)</f>
        <v>0.59522883899472012</v>
      </c>
    </row>
    <row r="3779" spans="1:4">
      <c r="A3779">
        <v>1.0101789999999999</v>
      </c>
      <c r="B3779">
        <v>3.8930530000000001</v>
      </c>
      <c r="C3779">
        <f>LOG10(1.010179)</f>
        <v>4.398335984966327E-3</v>
      </c>
      <c r="D3779">
        <f>LOG10(3.893053)</f>
        <v>0.59029031624085893</v>
      </c>
    </row>
    <row r="3780" spans="1:4">
      <c r="A3780">
        <v>1.0148330000000001</v>
      </c>
      <c r="B3780">
        <v>3.9311859999999998</v>
      </c>
      <c r="C3780">
        <f>LOG10(1.014833)</f>
        <v>6.3945810219864846E-3</v>
      </c>
      <c r="D3780">
        <f>LOG10(3.931186)</f>
        <v>0.59452359250048137</v>
      </c>
    </row>
    <row r="3781" spans="1:4">
      <c r="A3781">
        <v>1.011992</v>
      </c>
      <c r="B3781">
        <v>3.9130850000000001</v>
      </c>
      <c r="C3781">
        <f>LOG10(1.011992)</f>
        <v>5.1770793322507358E-3</v>
      </c>
      <c r="D3781">
        <f>LOG10(3.913085)</f>
        <v>0.59251928174428481</v>
      </c>
    </row>
    <row r="3782" spans="1:4">
      <c r="A3782">
        <v>1.0124040000000001</v>
      </c>
      <c r="B3782">
        <v>3.7778719999999999</v>
      </c>
      <c r="C3782">
        <f>LOG10(1.012404)</f>
        <v>5.3538523835851134E-3</v>
      </c>
      <c r="D3782">
        <f>LOG10(3.777872)</f>
        <v>0.57724723928316668</v>
      </c>
    </row>
    <row r="3783" spans="1:4">
      <c r="A3783">
        <v>1.007835</v>
      </c>
      <c r="B3783">
        <v>4.0180689999999997</v>
      </c>
      <c r="C3783">
        <f>LOG10(1.007835)</f>
        <v>3.3894364199544623E-3</v>
      </c>
      <c r="D3783">
        <f>LOG10(4.018069)</f>
        <v>0.60401739036692237</v>
      </c>
    </row>
    <row r="3784" spans="1:4">
      <c r="A3784">
        <v>1.0222800000000001</v>
      </c>
      <c r="B3784">
        <v>4.0009649999999999</v>
      </c>
      <c r="C3784">
        <f>LOG10(1.02228)</f>
        <v>9.5698642919466795E-3</v>
      </c>
      <c r="D3784">
        <f>LOG10(4.000965)</f>
        <v>0.60216475223544508</v>
      </c>
    </row>
    <row r="3785" spans="1:4">
      <c r="A3785">
        <v>1.009792</v>
      </c>
      <c r="B3785">
        <v>4.1437819999999999</v>
      </c>
      <c r="C3785">
        <f>LOG10(1.009792)</f>
        <v>4.2319257082317477E-3</v>
      </c>
      <c r="D3785">
        <f>LOG10(4.143782)</f>
        <v>0.61739689956357169</v>
      </c>
    </row>
    <row r="3786" spans="1:4">
      <c r="A3786">
        <v>1.010335</v>
      </c>
      <c r="B3786">
        <v>4.0414149999999998</v>
      </c>
      <c r="C3786">
        <f>LOG10(1.010335)</f>
        <v>4.4653980684872009E-3</v>
      </c>
      <c r="D3786">
        <f>LOG10(4.041415)</f>
        <v>0.60653344904594875</v>
      </c>
    </row>
    <row r="3787" spans="1:4">
      <c r="A3787">
        <v>1.01139</v>
      </c>
      <c r="B3787">
        <v>3.9959750000000001</v>
      </c>
      <c r="C3787">
        <f>LOG10(1.01139)</f>
        <v>4.9186552820021335E-3</v>
      </c>
      <c r="D3787">
        <f>LOG10(3.995975)</f>
        <v>0.60162276248787594</v>
      </c>
    </row>
    <row r="3788" spans="1:4">
      <c r="A3788">
        <v>1.0065539999999999</v>
      </c>
      <c r="B3788">
        <v>3.8848319999999998</v>
      </c>
      <c r="C3788">
        <f>LOG10(1.006554)</f>
        <v>2.837079048749947E-3</v>
      </c>
      <c r="D3788">
        <f>LOG10(3.884832)</f>
        <v>0.5893722424289406</v>
      </c>
    </row>
    <row r="3789" spans="1:4">
      <c r="A3789">
        <v>1.008661</v>
      </c>
      <c r="B3789">
        <v>3.9643640000000002</v>
      </c>
      <c r="C3789">
        <f>LOG10(1.008661)</f>
        <v>3.7452291040120226E-3</v>
      </c>
      <c r="D3789">
        <f>LOG10(3.964364)</f>
        <v>0.59817352369763455</v>
      </c>
    </row>
    <row r="3790" spans="1:4">
      <c r="A3790">
        <v>1.0111589999999999</v>
      </c>
      <c r="B3790">
        <v>3.9362680000000001</v>
      </c>
      <c r="C3790">
        <f>LOG10(1.011159)</f>
        <v>4.8194517267301411E-3</v>
      </c>
      <c r="D3790">
        <f>LOG10(3.936268)</f>
        <v>0.59508465961673129</v>
      </c>
    </row>
    <row r="3791" spans="1:4">
      <c r="A3791">
        <v>1.0109170000000001</v>
      </c>
      <c r="B3791">
        <v>4.1292989999999996</v>
      </c>
      <c r="C3791">
        <f>LOG10(1.010917)</f>
        <v>4.7154998820692047E-3</v>
      </c>
      <c r="D3791">
        <f>LOG10(4.129299)</f>
        <v>0.61587633100951678</v>
      </c>
    </row>
    <row r="3792" spans="1:4">
      <c r="A3792">
        <v>1.0056849999999999</v>
      </c>
      <c r="B3792">
        <v>3.3561740000000002</v>
      </c>
      <c r="C3792">
        <f>LOG10(1.005685)</f>
        <v>2.4619725845219536E-3</v>
      </c>
      <c r="D3792">
        <f>LOG10(3.356174)</f>
        <v>0.52584446862893175</v>
      </c>
    </row>
    <row r="3793" spans="1:4">
      <c r="A3793">
        <v>1.0177799999999999</v>
      </c>
      <c r="B3793">
        <v>3.9760010000000001</v>
      </c>
      <c r="C3793">
        <f>LOG10(1.01778)</f>
        <v>7.6539124687171368E-3</v>
      </c>
      <c r="D3793">
        <f>LOG10(3.976001)</f>
        <v>0.59944648495425645</v>
      </c>
    </row>
    <row r="3794" spans="1:4">
      <c r="A3794">
        <v>1.006076</v>
      </c>
      <c r="B3794">
        <v>4.0227250000000003</v>
      </c>
      <c r="C3794">
        <f>LOG10(1.006076)</f>
        <v>2.630789004128802E-3</v>
      </c>
      <c r="D3794">
        <f>LOG10(4.022725)</f>
        <v>0.60452034451143588</v>
      </c>
    </row>
    <row r="3795" spans="1:4">
      <c r="A3795">
        <v>1.0089790000000001</v>
      </c>
      <c r="B3795">
        <v>3.7027060000000001</v>
      </c>
      <c r="C3795">
        <f>LOG10(1.008979)</f>
        <v>3.8821273082395424E-3</v>
      </c>
      <c r="D3795">
        <f>LOG10(3.702706)</f>
        <v>0.56851922983323078</v>
      </c>
    </row>
    <row r="3796" spans="1:4">
      <c r="A3796">
        <v>1.0104299999999999</v>
      </c>
      <c r="B3796">
        <v>3.8445879999999999</v>
      </c>
      <c r="C3796">
        <f>LOG10(1.01043)</f>
        <v>4.5062320851206889E-3</v>
      </c>
      <c r="D3796">
        <f>LOG10(3.844588)</f>
        <v>0.58484980605850068</v>
      </c>
    </row>
    <row r="3797" spans="1:4">
      <c r="A3797">
        <v>1.012677</v>
      </c>
      <c r="B3797">
        <v>3.893602</v>
      </c>
      <c r="C3797">
        <f>LOG10(1.012677)</f>
        <v>5.4709463608411425E-3</v>
      </c>
      <c r="D3797">
        <f>LOG10(3.893602)</f>
        <v>0.59035155631659364</v>
      </c>
    </row>
    <row r="3798" spans="1:4">
      <c r="A3798">
        <v>1.006996</v>
      </c>
      <c r="B3798">
        <v>4.0377650000000003</v>
      </c>
      <c r="C3798">
        <f>LOG10(1.006996)</f>
        <v>3.02774544797965E-3</v>
      </c>
      <c r="D3798">
        <f>LOG10(4.037765)</f>
        <v>0.6061410391808898</v>
      </c>
    </row>
    <row r="3799" spans="1:4">
      <c r="A3799">
        <v>1.0082850000000001</v>
      </c>
      <c r="B3799">
        <v>3.964521</v>
      </c>
      <c r="C3799">
        <f>LOG10(1.008285)</f>
        <v>3.5833063484328139E-3</v>
      </c>
      <c r="D3799">
        <f>LOG10(3.964521)</f>
        <v>0.59819072264393469</v>
      </c>
    </row>
    <row r="3800" spans="1:4">
      <c r="A3800">
        <v>1.0143040000000001</v>
      </c>
      <c r="B3800">
        <v>4.0794430000000004</v>
      </c>
      <c r="C3800">
        <f>LOG10(1.014304)</f>
        <v>6.1681381685648965E-3</v>
      </c>
      <c r="D3800">
        <f>LOG10(4.079443)</f>
        <v>0.61060086933004964</v>
      </c>
    </row>
    <row r="3801" spans="1:4">
      <c r="A3801">
        <v>1.0036659999999999</v>
      </c>
      <c r="B3801">
        <v>4.0442549999999997</v>
      </c>
      <c r="C3801">
        <f>LOG10(1.003666)</f>
        <v>1.5892123210768368E-3</v>
      </c>
      <c r="D3801">
        <f>LOG10(4.044255)</f>
        <v>0.60683853109340447</v>
      </c>
    </row>
    <row r="3802" spans="1:4">
      <c r="A3802">
        <v>1.72262</v>
      </c>
      <c r="B3802">
        <v>3.9718789999999999</v>
      </c>
      <c r="C3802">
        <f>LOG10(1.72262)</f>
        <v>0.23618948516461227</v>
      </c>
      <c r="D3802">
        <f>LOG10(3.971879)</f>
        <v>0.59899600960361987</v>
      </c>
    </row>
    <row r="3803" spans="1:4">
      <c r="A3803">
        <v>1.1908559999999999</v>
      </c>
      <c r="B3803">
        <v>4.0540149999999997</v>
      </c>
      <c r="C3803">
        <f>LOG10(1.190856)</f>
        <v>7.5859249151662353E-2</v>
      </c>
      <c r="D3803">
        <f>LOG10(4.054015)</f>
        <v>0.60788535126502563</v>
      </c>
    </row>
    <row r="3804" spans="1:4">
      <c r="A3804">
        <v>1.005808</v>
      </c>
      <c r="B3804">
        <v>3.5674600000000001</v>
      </c>
      <c r="C3804">
        <f>LOG10(1.005808)</f>
        <v>2.5150855919654005E-3</v>
      </c>
      <c r="D3804">
        <f>LOG10(3.56746)</f>
        <v>0.55235911230478807</v>
      </c>
    </row>
    <row r="3805" spans="1:4">
      <c r="A3805">
        <v>1.0060880000000001</v>
      </c>
      <c r="B3805">
        <v>3.5540729999999998</v>
      </c>
      <c r="C3805">
        <f>LOG10(1.006088)</f>
        <v>2.6359690329763054E-3</v>
      </c>
      <c r="D3805">
        <f>LOG10(3.554073)</f>
        <v>0.55072634388897457</v>
      </c>
    </row>
    <row r="3806" spans="1:4">
      <c r="A3806">
        <v>1.0044219999999999</v>
      </c>
      <c r="B3806">
        <v>3.7210070000000002</v>
      </c>
      <c r="C3806">
        <f>LOG10(1.004422)</f>
        <v>1.9162165597662547E-3</v>
      </c>
      <c r="D3806">
        <f>LOG10(3.721007)</f>
        <v>0.57066048702194094</v>
      </c>
    </row>
    <row r="3807" spans="1:4">
      <c r="A3807">
        <v>1.0113650000000001</v>
      </c>
      <c r="B3807">
        <v>3.9815680000000002</v>
      </c>
      <c r="C3807">
        <f>LOG10(1.011365)</f>
        <v>4.9079200599430025E-3</v>
      </c>
      <c r="D3807">
        <f>LOG10(3.981568)</f>
        <v>0.60005413731019119</v>
      </c>
    </row>
    <row r="3808" spans="1:4">
      <c r="A3808">
        <v>1.009412</v>
      </c>
      <c r="B3808">
        <v>3.8092609999999998</v>
      </c>
      <c r="C3808">
        <f>LOG10(1.009412)</f>
        <v>4.0684633685458662E-3</v>
      </c>
      <c r="D3808">
        <f>LOG10(3.809261)</f>
        <v>0.58084073033394301</v>
      </c>
    </row>
    <row r="3809" spans="1:4">
      <c r="A3809">
        <v>1.011212</v>
      </c>
      <c r="B3809">
        <v>4.2114700000000003</v>
      </c>
      <c r="C3809">
        <f>LOG10(1.011212)</f>
        <v>4.8422147188282054E-3</v>
      </c>
      <c r="D3809">
        <f>LOG10(4.21147)</f>
        <v>0.62443371138375714</v>
      </c>
    </row>
    <row r="3810" spans="1:4">
      <c r="A3810">
        <v>1.0152380000000001</v>
      </c>
      <c r="B3810">
        <v>4.3206059999999997</v>
      </c>
      <c r="C3810">
        <f>LOG10(1.015238)</f>
        <v>6.5678648800429765E-3</v>
      </c>
      <c r="D3810">
        <f>LOG10(4.320606)</f>
        <v>0.6355446644071423</v>
      </c>
    </row>
    <row r="3811" spans="1:4">
      <c r="A3811">
        <v>1.013134</v>
      </c>
      <c r="B3811">
        <v>4.581747</v>
      </c>
      <c r="C3811">
        <f>LOG10(1.013134)</f>
        <v>5.666890189358737E-3</v>
      </c>
      <c r="D3811">
        <f>LOG10(4.581747)</f>
        <v>0.66103110415990274</v>
      </c>
    </row>
    <row r="3812" spans="1:4">
      <c r="A3812">
        <v>1.021153</v>
      </c>
      <c r="B3812">
        <v>4.6245159999999998</v>
      </c>
      <c r="C3812">
        <f>LOG10(1.021153)</f>
        <v>9.0908175791534953E-3</v>
      </c>
      <c r="D3812">
        <f>LOG10(4.624516)</f>
        <v>0.66506628636618559</v>
      </c>
    </row>
    <row r="3813" spans="1:4">
      <c r="A3813">
        <v>1.017153</v>
      </c>
      <c r="B3813">
        <v>4.4367320000000001</v>
      </c>
      <c r="C3813">
        <f>LOG10(1.017153)</f>
        <v>7.3862843465426027E-3</v>
      </c>
      <c r="D3813">
        <f>LOG10(4.436732)</f>
        <v>0.64706319602862039</v>
      </c>
    </row>
    <row r="3814" spans="1:4">
      <c r="A3814">
        <v>1.2432319999999999</v>
      </c>
      <c r="B3814">
        <v>4.4228170000000002</v>
      </c>
      <c r="C3814">
        <f>LOG10(1.243232)</f>
        <v>9.4552180064113742E-2</v>
      </c>
      <c r="D3814">
        <f>LOG10(4.422817)</f>
        <v>0.64569897022323786</v>
      </c>
    </row>
    <row r="3815" spans="1:4">
      <c r="A3815">
        <v>1.026508</v>
      </c>
      <c r="B3815">
        <v>4.4839650000000004</v>
      </c>
      <c r="C3815">
        <f>LOG10(1.026508)</f>
        <v>1.1362338355725766E-2</v>
      </c>
      <c r="D3815">
        <f>LOG10(4.483965)</f>
        <v>0.65166221401076119</v>
      </c>
    </row>
    <row r="3816" spans="1:4">
      <c r="A3816">
        <v>1.0272300000000001</v>
      </c>
      <c r="B3816">
        <v>4.3866740000000002</v>
      </c>
      <c r="C3816">
        <f>LOG10(1.02723)</f>
        <v>1.1667694373729892E-2</v>
      </c>
      <c r="D3816">
        <f>LOG10(4.386674)</f>
        <v>0.64213536058187726</v>
      </c>
    </row>
    <row r="3817" spans="1:4">
      <c r="A3817">
        <v>1.0201849999999999</v>
      </c>
      <c r="B3817">
        <v>4.2867040000000003</v>
      </c>
      <c r="C3817">
        <f>LOG10(1.020185)</f>
        <v>8.6789337167131001E-3</v>
      </c>
      <c r="D3817">
        <f>LOG10(4.286704)</f>
        <v>0.63212349619903563</v>
      </c>
    </row>
    <row r="3818" spans="1:4">
      <c r="A3818">
        <v>1.012886</v>
      </c>
      <c r="B3818">
        <v>4.3652129999999998</v>
      </c>
      <c r="C3818">
        <f>LOG10(1.012886)</f>
        <v>5.5605684037396868E-3</v>
      </c>
      <c r="D3818">
        <f>LOG10(4.365213)</f>
        <v>0.64000543990132064</v>
      </c>
    </row>
    <row r="3819" spans="1:4">
      <c r="A3819">
        <v>1.012759</v>
      </c>
      <c r="B3819">
        <v>4.5910419999999998</v>
      </c>
      <c r="C3819">
        <f>LOG10(1.012759)</f>
        <v>5.5061112809230272E-3</v>
      </c>
      <c r="D3819">
        <f>LOG10(4.591042)</f>
        <v>0.66191126581869031</v>
      </c>
    </row>
    <row r="3820" spans="1:4">
      <c r="A3820">
        <v>1.013163</v>
      </c>
      <c r="B3820">
        <v>4.4740710000000004</v>
      </c>
      <c r="C3820">
        <f>LOG10(1.013163)</f>
        <v>5.6793212791506863E-3</v>
      </c>
      <c r="D3820">
        <f>LOG10(4.474071)</f>
        <v>0.65070287172832453</v>
      </c>
    </row>
    <row r="3821" spans="1:4">
      <c r="A3821">
        <v>1.012308</v>
      </c>
      <c r="B3821">
        <v>4.4645409999999996</v>
      </c>
      <c r="C3821">
        <f>LOG10(1.012308)</f>
        <v>5.3126689754816429E-3</v>
      </c>
      <c r="D3821">
        <f>LOG10(4.464541)</f>
        <v>0.64977681565144374</v>
      </c>
    </row>
    <row r="3822" spans="1:4">
      <c r="A3822">
        <v>1.019952</v>
      </c>
      <c r="B3822">
        <v>4.4971920000000001</v>
      </c>
      <c r="C3822">
        <f>LOG10(1.019952)</f>
        <v>8.579733893639075E-3</v>
      </c>
      <c r="D3822">
        <f>LOG10(4.497192)</f>
        <v>0.65294142943152189</v>
      </c>
    </row>
    <row r="3823" spans="1:4">
      <c r="A3823">
        <v>1.0125930000000001</v>
      </c>
      <c r="B3823">
        <v>4.267417</v>
      </c>
      <c r="C3823">
        <f>LOG10(1.012593)</f>
        <v>5.4349208072104853E-3</v>
      </c>
      <c r="D3823">
        <f>LOG10(4.267417)</f>
        <v>0.63016508296953821</v>
      </c>
    </row>
    <row r="3824" spans="1:4">
      <c r="A3824">
        <v>1.017088</v>
      </c>
      <c r="B3824">
        <v>3.864935</v>
      </c>
      <c r="C3824">
        <f>LOG10(1.017088)</f>
        <v>7.3585303672124144E-3</v>
      </c>
      <c r="D3824">
        <f>LOG10(3.864935)</f>
        <v>0.58714219440474491</v>
      </c>
    </row>
    <row r="3825" spans="1:4">
      <c r="A3825">
        <v>1.017352</v>
      </c>
      <c r="B3825">
        <v>3.7778309999999999</v>
      </c>
      <c r="C3825">
        <f>LOG10(1.017352)</f>
        <v>7.4712431961639E-3</v>
      </c>
      <c r="D3825">
        <f>LOG10(3.777831)</f>
        <v>0.57724252600267956</v>
      </c>
    </row>
    <row r="3826" spans="1:4">
      <c r="A3826">
        <v>1.018937</v>
      </c>
      <c r="B3826">
        <v>3.698143</v>
      </c>
      <c r="C3826">
        <f>LOG10(1.018937)</f>
        <v>8.1473327815174516E-3</v>
      </c>
      <c r="D3826">
        <f>LOG10(3.698143)</f>
        <v>0.56798370047111912</v>
      </c>
    </row>
    <row r="3827" spans="1:4">
      <c r="A3827">
        <v>1.0189010000000001</v>
      </c>
      <c r="B3827">
        <v>3.7479300000000002</v>
      </c>
      <c r="C3827">
        <f>LOG10(1.018901)</f>
        <v>8.1319884790261726E-3</v>
      </c>
      <c r="D3827">
        <f>LOG10(3.74793)</f>
        <v>0.5737914709837163</v>
      </c>
    </row>
    <row r="3828" spans="1:4">
      <c r="A3828">
        <v>1.018473</v>
      </c>
      <c r="B3828">
        <v>3.9132750000000001</v>
      </c>
      <c r="C3828">
        <f>LOG10(1.018473)</f>
        <v>7.9495202223497114E-3</v>
      </c>
      <c r="D3828">
        <f>LOG10(3.913275)</f>
        <v>0.59254036841844182</v>
      </c>
    </row>
    <row r="3829" spans="1:4">
      <c r="A3829">
        <v>1.012767</v>
      </c>
      <c r="B3829">
        <v>3.7861039999999999</v>
      </c>
      <c r="C3829">
        <f>LOG10(1.012767)</f>
        <v>5.5095418523945835E-3</v>
      </c>
      <c r="D3829">
        <f>LOG10(3.786104)</f>
        <v>0.57819253937045467</v>
      </c>
    </row>
    <row r="3830" spans="1:4">
      <c r="A3830">
        <v>1.0125420000000001</v>
      </c>
      <c r="B3830">
        <v>3.7901989999999999</v>
      </c>
      <c r="C3830">
        <f>LOG10(1.012542)</f>
        <v>5.4130466915769514E-3</v>
      </c>
      <c r="D3830">
        <f>LOG10(3.790199)</f>
        <v>0.57866201269447004</v>
      </c>
    </row>
    <row r="3831" spans="1:4">
      <c r="A3831">
        <v>1.014664</v>
      </c>
      <c r="B3831">
        <v>3.832681</v>
      </c>
      <c r="C3831">
        <f>LOG10(1.014664)</f>
        <v>6.3222519989710926E-3</v>
      </c>
      <c r="D3831">
        <f>LOG10(3.832681)</f>
        <v>0.58350267375343523</v>
      </c>
    </row>
    <row r="3832" spans="1:4">
      <c r="A3832">
        <v>1.0294350000000001</v>
      </c>
      <c r="B3832">
        <v>3.9221270000000001</v>
      </c>
      <c r="C3832">
        <f>LOG10(1.029435)</f>
        <v>1.2598929844269592E-2</v>
      </c>
      <c r="D3832">
        <f>LOG10(3.922127)</f>
        <v>0.59352165218393649</v>
      </c>
    </row>
    <row r="3833" spans="1:4">
      <c r="A3833">
        <v>1.0117149999999999</v>
      </c>
      <c r="B3833">
        <v>4.101909</v>
      </c>
      <c r="C3833">
        <f>LOG10(1.011715)</f>
        <v>5.0581890262543384E-3</v>
      </c>
      <c r="D3833">
        <f>LOG10(4.101909)</f>
        <v>0.61298602140625524</v>
      </c>
    </row>
    <row r="3834" spans="1:4">
      <c r="A3834">
        <v>1.008618</v>
      </c>
      <c r="B3834">
        <v>3.9827789999999998</v>
      </c>
      <c r="C3834">
        <f>LOG10(1.008618)</f>
        <v>3.7267143990806027E-3</v>
      </c>
      <c r="D3834">
        <f>LOG10(3.982779)</f>
        <v>0.60018620855762372</v>
      </c>
    </row>
    <row r="3835" spans="1:4">
      <c r="A3835">
        <v>1.012106</v>
      </c>
      <c r="B3835">
        <v>3.9853070000000002</v>
      </c>
      <c r="C3835">
        <f>LOG10(1.012106)</f>
        <v>5.2259994645657698E-3</v>
      </c>
      <c r="D3835">
        <f>LOG10(3.985307)</f>
        <v>0.60046178201079403</v>
      </c>
    </row>
    <row r="3836" spans="1:4">
      <c r="A3836">
        <v>1.017404</v>
      </c>
      <c r="B3836">
        <v>3.8774519999999999</v>
      </c>
      <c r="C3836">
        <f>LOG10(1.017404)</f>
        <v>7.4934407599640419E-3</v>
      </c>
      <c r="D3836">
        <f>LOG10(3.877452)</f>
        <v>0.58854643027309306</v>
      </c>
    </row>
    <row r="3837" spans="1:4">
      <c r="A3837">
        <v>1.0139929999999999</v>
      </c>
      <c r="B3837">
        <v>3.8612929999999999</v>
      </c>
      <c r="C3837">
        <f>LOG10(1.013993)</f>
        <v>6.0349568988292881E-3</v>
      </c>
      <c r="D3837">
        <f>LOG10(3.861293)</f>
        <v>0.58673275771189992</v>
      </c>
    </row>
    <row r="3838" spans="1:4">
      <c r="A3838">
        <v>1.0171539999999999</v>
      </c>
      <c r="B3838">
        <v>3.7575409999999998</v>
      </c>
      <c r="C3838">
        <f>LOG10(1.017154)</f>
        <v>7.386711316986953E-3</v>
      </c>
      <c r="D3838">
        <f>LOG10(3.757541)</f>
        <v>0.57490372804181022</v>
      </c>
    </row>
    <row r="3839" spans="1:4">
      <c r="A3839">
        <v>1.016459</v>
      </c>
      <c r="B3839">
        <v>4.1873279999999999</v>
      </c>
      <c r="C3839">
        <f>LOG10(1.016459)</f>
        <v>7.0898655782216363E-3</v>
      </c>
      <c r="D3839">
        <f>LOG10(4.187328)</f>
        <v>0.62193698119474305</v>
      </c>
    </row>
    <row r="3840" spans="1:4">
      <c r="A3840">
        <v>1.0110209999999999</v>
      </c>
      <c r="B3840">
        <v>4.1729099999999999</v>
      </c>
      <c r="C3840">
        <f>LOG10(1.011021)</f>
        <v>4.7601764509429467E-3</v>
      </c>
      <c r="D3840">
        <f>LOG10(4.17291)</f>
        <v>0.62043901808700941</v>
      </c>
    </row>
    <row r="3841" spans="1:4">
      <c r="A3841">
        <v>1.009091</v>
      </c>
      <c r="B3841">
        <v>4.0943250000000004</v>
      </c>
      <c r="C3841">
        <f>LOG10(1.009091)</f>
        <v>3.9303327540596142E-3</v>
      </c>
      <c r="D3841">
        <f>LOG10(4.094325)</f>
        <v>0.61218231319324967</v>
      </c>
    </row>
    <row r="3842" spans="1:4">
      <c r="A3842">
        <v>1.0125930000000001</v>
      </c>
      <c r="B3842">
        <v>4.1381209999999999</v>
      </c>
      <c r="C3842">
        <f>LOG10(1.012593)</f>
        <v>5.4349208072104853E-3</v>
      </c>
      <c r="D3842">
        <f>LOG10(4.138121)</f>
        <v>0.61680318542686863</v>
      </c>
    </row>
    <row r="3843" spans="1:4">
      <c r="A3843">
        <v>1.013997</v>
      </c>
      <c r="B3843">
        <v>4.0767259999999998</v>
      </c>
      <c r="C3843">
        <f>LOG10(1.013997)</f>
        <v>6.0366701004995775E-3</v>
      </c>
      <c r="D3843">
        <f>LOG10(4.076726)</f>
        <v>0.61031152315515336</v>
      </c>
    </row>
    <row r="3844" spans="1:4">
      <c r="A3844">
        <v>1.0129360000000001</v>
      </c>
      <c r="B3844">
        <v>4.0010630000000003</v>
      </c>
      <c r="C3844">
        <f>LOG10(1.012936)</f>
        <v>5.5820063426105428E-3</v>
      </c>
      <c r="D3844">
        <f>LOG10(4.001063)</f>
        <v>0.60217538975364149</v>
      </c>
    </row>
    <row r="3845" spans="1:4">
      <c r="A3845">
        <v>1.0094380000000001</v>
      </c>
      <c r="B3845">
        <v>3.8642699999999999</v>
      </c>
      <c r="C3845">
        <f>LOG10(1.009438)</f>
        <v>4.079649594892691E-3</v>
      </c>
      <c r="D3845">
        <f>LOG10(3.86427)</f>
        <v>0.58706746334736493</v>
      </c>
    </row>
    <row r="3846" spans="1:4">
      <c r="A3846">
        <v>1.010432</v>
      </c>
      <c r="B3846">
        <v>3.9890219999999998</v>
      </c>
      <c r="C3846">
        <f>LOG10(1.010432)</f>
        <v>4.507091707364891E-3</v>
      </c>
      <c r="D3846">
        <f>LOG10(3.989022)</f>
        <v>0.60086643150970287</v>
      </c>
    </row>
    <row r="3847" spans="1:4">
      <c r="A3847">
        <v>1.0162679999999999</v>
      </c>
      <c r="B3847">
        <v>3.9063949999999998</v>
      </c>
      <c r="C3847">
        <f>LOG10(1.016268)</f>
        <v>7.0082508347881455E-3</v>
      </c>
      <c r="D3847">
        <f>LOG10(3.906395)</f>
        <v>0.59177615540012007</v>
      </c>
    </row>
    <row r="3848" spans="1:4">
      <c r="A3848">
        <v>1.0102770000000001</v>
      </c>
      <c r="B3848">
        <v>3.935835</v>
      </c>
      <c r="C3848">
        <f>LOG10(1.010277)</f>
        <v>4.4404659390558611E-3</v>
      </c>
      <c r="D3848">
        <f>LOG10(3.935835)</f>
        <v>0.5950368834352322</v>
      </c>
    </row>
    <row r="3849" spans="1:4">
      <c r="A3849">
        <v>1.0114099999999999</v>
      </c>
      <c r="B3849">
        <v>3.9275180000000001</v>
      </c>
      <c r="C3849">
        <f>LOG10(1.01141)</f>
        <v>4.9272432685933025E-3</v>
      </c>
      <c r="D3849">
        <f>LOG10(3.927518)</f>
        <v>0.59411818410864004</v>
      </c>
    </row>
    <row r="3850" spans="1:4">
      <c r="A3850">
        <v>1.0121800000000001</v>
      </c>
      <c r="B3850">
        <v>3.8452480000000002</v>
      </c>
      <c r="C3850">
        <f>LOG10(1.01218)</f>
        <v>5.2577516889799215E-3</v>
      </c>
      <c r="D3850">
        <f>LOG10(3.845248)</f>
        <v>0.58492435494582673</v>
      </c>
    </row>
    <row r="3851" spans="1:4">
      <c r="A3851">
        <v>1.0066360000000001</v>
      </c>
      <c r="B3851">
        <v>3.6202070000000002</v>
      </c>
      <c r="C3851">
        <f>LOG10(1.006636)</f>
        <v>2.8724578729402324E-3</v>
      </c>
      <c r="D3851">
        <f>LOG10(3.620207)</f>
        <v>0.55873340378939129</v>
      </c>
    </row>
    <row r="3852" spans="1:4">
      <c r="A3852">
        <v>1.006286</v>
      </c>
      <c r="B3852">
        <v>3.7842180000000001</v>
      </c>
      <c r="C3852">
        <f>LOG10(1.006286)</f>
        <v>2.7214305900171891E-3</v>
      </c>
      <c r="D3852">
        <f>LOG10(3.784218)</f>
        <v>0.57797614714570777</v>
      </c>
    </row>
    <row r="3853" spans="1:4">
      <c r="A3853">
        <v>1.006041</v>
      </c>
      <c r="B3853">
        <v>3.8065289999999998</v>
      </c>
      <c r="C3853">
        <f>LOG10(1.006041)</f>
        <v>2.615680233746016E-3</v>
      </c>
      <c r="D3853">
        <f>LOG10(3.806529)</f>
        <v>0.58052914280974532</v>
      </c>
    </row>
    <row r="3854" spans="1:4">
      <c r="A3854">
        <v>1.0089490000000001</v>
      </c>
      <c r="B3854">
        <v>3.7823159999999998</v>
      </c>
      <c r="C3854">
        <f>LOG10(1.008949)</f>
        <v>3.8692142266449105E-3</v>
      </c>
      <c r="D3854">
        <f>LOG10(3.782316)</f>
        <v>0.57775780989328063</v>
      </c>
    </row>
    <row r="3855" spans="1:4">
      <c r="A3855">
        <v>1.0181290000000001</v>
      </c>
      <c r="B3855">
        <v>3.8403489999999998</v>
      </c>
      <c r="C3855">
        <f>LOG10(1.018129)</f>
        <v>7.8028079013410384E-3</v>
      </c>
      <c r="D3855">
        <f>LOG10(3.840349)</f>
        <v>0.58437069360891258</v>
      </c>
    </row>
    <row r="3856" spans="1:4">
      <c r="A3856">
        <v>1.0597829999999999</v>
      </c>
      <c r="B3856">
        <v>4.3373889999999999</v>
      </c>
      <c r="C3856">
        <f>LOG10(1.059783)</f>
        <v>2.5216948707837535E-2</v>
      </c>
      <c r="D3856">
        <f>LOG10(4.337389)</f>
        <v>0.637228373723005</v>
      </c>
    </row>
    <row r="3857" spans="1:4">
      <c r="A3857">
        <v>1.051634</v>
      </c>
      <c r="B3857">
        <v>4.5345120000000003</v>
      </c>
      <c r="C3857">
        <f>LOG10(1.051634)</f>
        <v>2.1864618679746196E-2</v>
      </c>
      <c r="D3857">
        <f>LOG10(4.534512)</f>
        <v>0.65653055553924033</v>
      </c>
    </row>
    <row r="3858" spans="1:4">
      <c r="A3858">
        <v>1.026667</v>
      </c>
      <c r="B3858">
        <v>4.5805800000000003</v>
      </c>
      <c r="C3858">
        <f>LOG10(1.026667)</f>
        <v>1.142960278546085E-2</v>
      </c>
      <c r="D3858">
        <f>LOG10(4.58058)</f>
        <v>0.66092047251291575</v>
      </c>
    </row>
    <row r="3859" spans="1:4">
      <c r="A3859">
        <v>1.0243880000000001</v>
      </c>
      <c r="B3859">
        <v>4.7400989999999998</v>
      </c>
      <c r="C3859">
        <f>LOG10(1.024388)</f>
        <v>1.0464482365400823E-2</v>
      </c>
      <c r="D3859">
        <f>LOG10(4.740099)</f>
        <v>0.6757874122868941</v>
      </c>
    </row>
    <row r="3860" spans="1:4">
      <c r="A3860">
        <v>1.0393749999999999</v>
      </c>
      <c r="B3860">
        <v>4.632879</v>
      </c>
      <c r="C3860">
        <f>LOG10(1.039375)</f>
        <v>1.6772266563594432E-2</v>
      </c>
      <c r="D3860">
        <f>LOG10(4.632879)</f>
        <v>0.66585095759177138</v>
      </c>
    </row>
    <row r="3861" spans="1:4">
      <c r="A3861">
        <v>1.02135</v>
      </c>
      <c r="B3861">
        <v>4.7479329999999997</v>
      </c>
      <c r="C3861">
        <f>LOG10(1.02135)</f>
        <v>9.1745932340242514E-3</v>
      </c>
      <c r="D3861">
        <f>LOG10(4.747933)</f>
        <v>0.67650458182097151</v>
      </c>
    </row>
    <row r="3862" spans="1:4">
      <c r="A3862">
        <v>1.0244880000000001</v>
      </c>
      <c r="B3862">
        <v>4.8428040000000001</v>
      </c>
      <c r="C3862">
        <f>LOG10(1.024488)</f>
        <v>1.0506875802802408E-2</v>
      </c>
      <c r="D3862">
        <f>LOG10(4.842804)</f>
        <v>0.68509689245331806</v>
      </c>
    </row>
    <row r="3863" spans="1:4">
      <c r="A3863">
        <v>1.0243519999999999</v>
      </c>
      <c r="B3863">
        <v>4.5676750000000004</v>
      </c>
      <c r="C3863">
        <f>LOG10(1.024352)</f>
        <v>1.0449219714844686E-2</v>
      </c>
      <c r="D3863">
        <f>LOG10(4.567675)</f>
        <v>0.65969519534113863</v>
      </c>
    </row>
    <row r="3864" spans="1:4">
      <c r="A3864">
        <v>1.018176</v>
      </c>
      <c r="B3864">
        <v>4.4788550000000003</v>
      </c>
      <c r="C3864">
        <f>LOG10(1.018176)</f>
        <v>7.8228558221122759E-3</v>
      </c>
      <c r="D3864">
        <f>LOG10(4.478855)</f>
        <v>0.65116700267259253</v>
      </c>
    </row>
    <row r="3865" spans="1:4">
      <c r="A3865">
        <v>1.019771</v>
      </c>
      <c r="B3865">
        <v>4.6106999999999996</v>
      </c>
      <c r="C3865">
        <f>LOG10(1.019771)</f>
        <v>8.5026574460716261E-3</v>
      </c>
      <c r="D3865">
        <f>LOG10(4.6107)</f>
        <v>0.66376686531566598</v>
      </c>
    </row>
    <row r="3866" spans="1:4">
      <c r="A3866">
        <v>1.023876</v>
      </c>
      <c r="B3866">
        <v>4.6728480000000001</v>
      </c>
      <c r="C3866">
        <f>LOG10(1.023876)</f>
        <v>1.0247363107955713E-2</v>
      </c>
      <c r="D3866">
        <f>LOG10(4.672848)</f>
        <v>0.66958165437443518</v>
      </c>
    </row>
    <row r="3867" spans="1:4">
      <c r="A3867">
        <v>1.0273380000000001</v>
      </c>
      <c r="B3867">
        <v>4.7643009999999997</v>
      </c>
      <c r="C3867">
        <f>LOG10(1.027338)</f>
        <v>1.1713352443055172E-2</v>
      </c>
      <c r="D3867">
        <f>LOG10(4.764301)</f>
        <v>0.67799919162466826</v>
      </c>
    </row>
    <row r="3868" spans="1:4">
      <c r="A3868">
        <v>1.025857</v>
      </c>
      <c r="B3868">
        <v>4.7430979999999998</v>
      </c>
      <c r="C3868">
        <f>LOG10(1.025857)</f>
        <v>1.1086826234635286E-2</v>
      </c>
      <c r="D3868">
        <f>LOG10(4.743098)</f>
        <v>0.67606209796402317</v>
      </c>
    </row>
    <row r="3869" spans="1:4">
      <c r="A3869">
        <v>1.015655</v>
      </c>
      <c r="B3869">
        <v>4.7383309999999996</v>
      </c>
      <c r="C3869">
        <f>LOG10(1.015655)</f>
        <v>6.7462108603567232E-3</v>
      </c>
      <c r="D3869">
        <f>LOG10(4.738331)</f>
        <v>0.67562539544382827</v>
      </c>
    </row>
    <row r="3870" spans="1:4">
      <c r="A3870">
        <v>1.0135940000000001</v>
      </c>
      <c r="B3870">
        <v>4.6680200000000003</v>
      </c>
      <c r="C3870">
        <f>LOG10(1.013594)</f>
        <v>5.8640310638184154E-3</v>
      </c>
      <c r="D3870">
        <f>LOG10(4.66802)</f>
        <v>0.66913270809977454</v>
      </c>
    </row>
    <row r="3871" spans="1:4">
      <c r="A3871">
        <v>1.0336339999999999</v>
      </c>
      <c r="B3871">
        <v>4.2308570000000003</v>
      </c>
      <c r="C3871">
        <f>LOG10(1.033634)</f>
        <v>1.4366786418741031E-2</v>
      </c>
      <c r="D3871">
        <f>LOG10(4.230857)</f>
        <v>0.62642834673038761</v>
      </c>
    </row>
    <row r="3872" spans="1:4">
      <c r="A3872">
        <v>1.0113540000000001</v>
      </c>
      <c r="B3872">
        <v>3.9396100000000001</v>
      </c>
      <c r="C3872">
        <f>LOG10(1.011354)</f>
        <v>4.9031964781691868E-3</v>
      </c>
      <c r="D3872">
        <f>LOG10(3.93961)</f>
        <v>0.5954532311577414</v>
      </c>
    </row>
    <row r="3873" spans="1:4">
      <c r="A3873">
        <v>1.0085440000000001</v>
      </c>
      <c r="B3873">
        <v>3.8217910000000002</v>
      </c>
      <c r="C3873">
        <f>LOG10(1.008544)</f>
        <v>3.6948500355091915E-3</v>
      </c>
      <c r="D3873">
        <f>LOG10(3.821791)</f>
        <v>0.58226693336563251</v>
      </c>
    </row>
    <row r="3874" spans="1:4">
      <c r="A3874">
        <v>1.009031</v>
      </c>
      <c r="B3874">
        <v>4.0192170000000003</v>
      </c>
      <c r="C3874">
        <f>LOG10(1.009031)</f>
        <v>3.9045090735072485E-3</v>
      </c>
      <c r="D3874">
        <f>LOG10(4.019217)</f>
        <v>0.60414145465146207</v>
      </c>
    </row>
    <row r="3875" spans="1:4">
      <c r="A3875">
        <v>1.007606</v>
      </c>
      <c r="B3875">
        <v>3.813097</v>
      </c>
      <c r="C3875">
        <f>LOG10(1.007606)</f>
        <v>3.2907449308125368E-3</v>
      </c>
      <c r="D3875">
        <f>LOG10(3.813097)</f>
        <v>0.58127785327496062</v>
      </c>
    </row>
    <row r="3876" spans="1:4">
      <c r="A3876">
        <v>1.010675</v>
      </c>
      <c r="B3876">
        <v>3.9455439999999999</v>
      </c>
      <c r="C3876">
        <f>LOG10(1.010675)</f>
        <v>4.6115231497486954E-3</v>
      </c>
      <c r="D3876">
        <f>LOG10(3.945544)</f>
        <v>0.59610689091939395</v>
      </c>
    </row>
    <row r="3877" spans="1:4">
      <c r="A3877">
        <v>1.0122230000000001</v>
      </c>
      <c r="B3877">
        <v>4.1922779999999999</v>
      </c>
      <c r="C3877">
        <f>LOG10(1.012223)</f>
        <v>5.2762012395137382E-3</v>
      </c>
      <c r="D3877">
        <f>LOG10(4.192278)</f>
        <v>0.62245007403836217</v>
      </c>
    </row>
    <row r="3878" spans="1:4">
      <c r="A3878">
        <v>1.0107360000000001</v>
      </c>
      <c r="B3878">
        <v>3.885068</v>
      </c>
      <c r="C3878">
        <f>LOG10(1.010736)</f>
        <v>4.6377345074628653E-3</v>
      </c>
      <c r="D3878">
        <f>LOG10(3.885068)</f>
        <v>0.5893986246211852</v>
      </c>
    </row>
    <row r="3879" spans="1:4">
      <c r="A3879">
        <v>1.007088</v>
      </c>
      <c r="B3879">
        <v>4.108079</v>
      </c>
      <c r="C3879">
        <f>LOG10(1.007088)</f>
        <v>3.0674211440905172E-3</v>
      </c>
      <c r="D3879">
        <f>LOG10(4.108079)</f>
        <v>0.61363878666189542</v>
      </c>
    </row>
    <row r="3880" spans="1:4">
      <c r="A3880">
        <v>1.0085949999999999</v>
      </c>
      <c r="B3880">
        <v>4.1236090000000001</v>
      </c>
      <c r="C3880">
        <f>LOG10(1.008595)</f>
        <v>3.7168108607985731E-3</v>
      </c>
      <c r="D3880">
        <f>LOG10(4.123609)</f>
        <v>0.61527747882466788</v>
      </c>
    </row>
    <row r="3881" spans="1:4">
      <c r="A3881">
        <v>1.0127139999999999</v>
      </c>
      <c r="B3881">
        <v>4.1429359999999997</v>
      </c>
      <c r="C3881">
        <f>LOG10(1.012714)</f>
        <v>5.4868138114540256E-3</v>
      </c>
      <c r="D3881">
        <f>LOG10(4.142936)</f>
        <v>0.61730822437685318</v>
      </c>
    </row>
    <row r="3882" spans="1:4">
      <c r="A3882">
        <v>1.0174460000000001</v>
      </c>
      <c r="B3882">
        <v>4.3258599999999996</v>
      </c>
      <c r="C3882">
        <f>LOG10(1.017446)</f>
        <v>7.5113687332717246E-3</v>
      </c>
      <c r="D3882">
        <f>LOG10(4.32586)</f>
        <v>0.63607246003804108</v>
      </c>
    </row>
    <row r="3883" spans="1:4">
      <c r="A3883">
        <v>1.010626</v>
      </c>
      <c r="B3883">
        <v>4.1712490000000004</v>
      </c>
      <c r="C3883">
        <f>LOG10(1.010626)</f>
        <v>4.5904669788791284E-3</v>
      </c>
      <c r="D3883">
        <f>LOG10(4.171249)</f>
        <v>0.62026611554668887</v>
      </c>
    </row>
    <row r="3884" spans="1:4">
      <c r="A3884">
        <v>1.0078290000000001</v>
      </c>
      <c r="B3884">
        <v>4.1493370000000001</v>
      </c>
      <c r="C3884">
        <f>LOG10(1.007829)</f>
        <v>3.3868509028331505E-3</v>
      </c>
      <c r="D3884">
        <f>LOG10(4.149337)</f>
        <v>0.61797870870143246</v>
      </c>
    </row>
    <row r="3885" spans="1:4">
      <c r="A3885">
        <v>1.013293</v>
      </c>
      <c r="B3885">
        <v>4.0647099999999998</v>
      </c>
      <c r="C3885">
        <f>LOG10(1.013293)</f>
        <v>5.7350424818068072E-3</v>
      </c>
      <c r="D3885">
        <f>LOG10(4.06471)</f>
        <v>0.60902956594669633</v>
      </c>
    </row>
    <row r="3886" spans="1:4">
      <c r="A3886">
        <v>1.0160260000000001</v>
      </c>
      <c r="B3886">
        <v>4.2304659999999998</v>
      </c>
      <c r="C3886">
        <f>LOG10(1.016026)</f>
        <v>6.9048216408651485E-3</v>
      </c>
      <c r="D3886">
        <f>LOG10(4.230466)</f>
        <v>0.62638820900191527</v>
      </c>
    </row>
    <row r="3887" spans="1:4">
      <c r="A3887">
        <v>1.0169429999999999</v>
      </c>
      <c r="B3887">
        <v>4.2455109999999996</v>
      </c>
      <c r="C3887">
        <f>LOG10(1.016943)</f>
        <v>7.2966112519357341E-3</v>
      </c>
      <c r="D3887">
        <f>LOG10(4.245511)</f>
        <v>0.6279299704631357</v>
      </c>
    </row>
    <row r="3888" spans="1:4">
      <c r="A3888">
        <v>1.003263</v>
      </c>
      <c r="B3888">
        <v>3.5694189999999999</v>
      </c>
      <c r="C3888">
        <f>LOG10(1.003263)</f>
        <v>1.4147959081799212E-3</v>
      </c>
      <c r="D3888">
        <f>LOG10(3.569419)</f>
        <v>0.55259753106217924</v>
      </c>
    </row>
    <row r="3889" spans="1:4">
      <c r="A3889">
        <v>1.016389</v>
      </c>
      <c r="B3889">
        <v>4.0378400000000001</v>
      </c>
      <c r="C3889">
        <f>LOG10(1.016389)</f>
        <v>7.0599561961672474E-3</v>
      </c>
      <c r="D3889">
        <f>LOG10(4.03784)</f>
        <v>0.60614910596626215</v>
      </c>
    </row>
    <row r="3890" spans="1:4">
      <c r="A3890">
        <v>1.0157160000000001</v>
      </c>
      <c r="B3890">
        <v>4.0733379999999997</v>
      </c>
      <c r="C3890">
        <f>LOG10(1.015716)</f>
        <v>6.772293701358293E-3</v>
      </c>
      <c r="D3890">
        <f>LOG10(4.073338)</f>
        <v>0.60995044874164084</v>
      </c>
    </row>
    <row r="3891" spans="1:4">
      <c r="A3891">
        <v>1.0135529999999999</v>
      </c>
      <c r="B3891">
        <v>4.0640400000000003</v>
      </c>
      <c r="C3891">
        <f>LOG10(1.013553)</f>
        <v>5.8464634441435332E-3</v>
      </c>
      <c r="D3891">
        <f>LOG10(4.06404)</f>
        <v>0.60895797380681405</v>
      </c>
    </row>
    <row r="3892" spans="1:4">
      <c r="A3892">
        <v>1.007538</v>
      </c>
      <c r="B3892">
        <v>4.0708029999999997</v>
      </c>
      <c r="C3892">
        <f>LOG10(1.007538)</f>
        <v>3.2614348420242304E-3</v>
      </c>
      <c r="D3892">
        <f>LOG10(4.070803)</f>
        <v>0.60968008590112022</v>
      </c>
    </row>
    <row r="3893" spans="1:4">
      <c r="A3893">
        <v>1.0084150000000001</v>
      </c>
      <c r="B3893">
        <v>4.0008470000000003</v>
      </c>
      <c r="C3893">
        <f>LOG10(1.008415)</f>
        <v>3.6392971083134182E-3</v>
      </c>
      <c r="D3893">
        <f>LOG10(4.000847)</f>
        <v>0.60215194344941814</v>
      </c>
    </row>
    <row r="3894" spans="1:4">
      <c r="A3894">
        <v>1.005776</v>
      </c>
      <c r="B3894">
        <v>3.8795090000000001</v>
      </c>
      <c r="C3894">
        <f>LOG10(1.005776)</f>
        <v>2.5012681988840378E-3</v>
      </c>
      <c r="D3894">
        <f>LOG10(3.879509)</f>
        <v>0.58877676371687737</v>
      </c>
    </row>
    <row r="3895" spans="1:4">
      <c r="A3895">
        <v>1.0059579999999999</v>
      </c>
      <c r="B3895">
        <v>4.0060169999999999</v>
      </c>
      <c r="C3895">
        <f>LOG10(1.005958)</f>
        <v>2.5798487626384841E-3</v>
      </c>
      <c r="D3895">
        <f>LOG10(4.006017)</f>
        <v>0.60271278794071448</v>
      </c>
    </row>
    <row r="3896" spans="1:4">
      <c r="A3896">
        <v>1.005547</v>
      </c>
      <c r="B3896">
        <v>3.9074</v>
      </c>
      <c r="C3896">
        <f>LOG10(1.005547)</f>
        <v>2.4023746479371237E-3</v>
      </c>
      <c r="D3896">
        <f>LOG10(3.9074)</f>
        <v>0.59188787216686911</v>
      </c>
    </row>
    <row r="3897" spans="1:4">
      <c r="A3897">
        <v>1.0038210000000001</v>
      </c>
      <c r="B3897">
        <v>3.882368</v>
      </c>
      <c r="C3897">
        <f>LOG10(1.003821)</f>
        <v>1.6562769096184586E-3</v>
      </c>
      <c r="D3897">
        <f>LOG10(3.882368)</f>
        <v>0.58909669869650005</v>
      </c>
    </row>
    <row r="3898" spans="1:4">
      <c r="A3898">
        <v>1.0048429999999999</v>
      </c>
      <c r="B3898">
        <v>3.8959100000000002</v>
      </c>
      <c r="C3898">
        <f>LOG10(1.004843)</f>
        <v>2.0982114480034516E-3</v>
      </c>
      <c r="D3898">
        <f>LOG10(3.89591)</f>
        <v>0.59060891562063356</v>
      </c>
    </row>
    <row r="3899" spans="1:4">
      <c r="A3899">
        <v>1.007307</v>
      </c>
      <c r="B3899">
        <v>3.7706650000000002</v>
      </c>
      <c r="C3899">
        <f>LOG10(1.007307)</f>
        <v>3.1618519701316046E-3</v>
      </c>
      <c r="D3899">
        <f>LOG10(3.770665)</f>
        <v>0.5764179497712727</v>
      </c>
    </row>
    <row r="3900" spans="1:4">
      <c r="A3900">
        <v>1.0063279999999999</v>
      </c>
      <c r="B3900">
        <v>3.6130520000000002</v>
      </c>
      <c r="C3900">
        <f>LOG10(1.006328)</f>
        <v>2.7395566372796351E-3</v>
      </c>
      <c r="D3900">
        <f>LOG10(3.613052)</f>
        <v>0.55787421209405208</v>
      </c>
    </row>
    <row r="3901" spans="1:4">
      <c r="A3901">
        <v>1.008329</v>
      </c>
      <c r="B3901">
        <v>3.7200500000000001</v>
      </c>
      <c r="C3901">
        <f>LOG10(1.008329)</f>
        <v>3.6022578753058263E-3</v>
      </c>
      <c r="D3901">
        <f>LOG10(3.72005)</f>
        <v>0.57054877713409224</v>
      </c>
    </row>
    <row r="3902" spans="1:4">
      <c r="A3902">
        <v>1.0074689999999999</v>
      </c>
      <c r="B3902">
        <v>3.806171</v>
      </c>
      <c r="C3902">
        <f>LOG10(1.007469)</f>
        <v>3.2316917004241476E-3</v>
      </c>
      <c r="D3902">
        <f>LOG10(3.806171)</f>
        <v>0.58048829595524276</v>
      </c>
    </row>
    <row r="3903" spans="1:4">
      <c r="A3903">
        <v>1.0079940000000001</v>
      </c>
      <c r="B3903">
        <v>3.7940269999999998</v>
      </c>
      <c r="C3903">
        <f>LOG10(1.007994)</f>
        <v>3.4579470156109659E-3</v>
      </c>
      <c r="D3903">
        <f>LOG10(3.794027)</f>
        <v>0.57910041719821248</v>
      </c>
    </row>
    <row r="3904" spans="1:4">
      <c r="A3904">
        <v>1.0111319999999999</v>
      </c>
      <c r="B3904">
        <v>3.7846700000000002</v>
      </c>
      <c r="C3904">
        <f>LOG10(1.011132)</f>
        <v>4.8078550267378218E-3</v>
      </c>
      <c r="D3904">
        <f>LOG10(3.78467)</f>
        <v>0.57802801767307022</v>
      </c>
    </row>
    <row r="3905" spans="1:4">
      <c r="A3905">
        <v>1.012497</v>
      </c>
      <c r="B3905">
        <v>4.1722729999999997</v>
      </c>
      <c r="C3905">
        <f>LOG10(1.012497)</f>
        <v>5.3937450863348847E-3</v>
      </c>
      <c r="D3905">
        <f>LOG10(4.172273)</f>
        <v>0.62037271742337863</v>
      </c>
    </row>
    <row r="3906" spans="1:4">
      <c r="A3906">
        <v>1.0115749999999999</v>
      </c>
      <c r="B3906">
        <v>4.3855880000000003</v>
      </c>
      <c r="C3906">
        <f>LOG10(1.011575)</f>
        <v>4.9980876788809974E-3</v>
      </c>
      <c r="D3906">
        <f>LOG10(4.385588)</f>
        <v>0.642027829865226</v>
      </c>
    </row>
    <row r="3907" spans="1:4">
      <c r="A3907">
        <v>1.0153479999999999</v>
      </c>
      <c r="B3907">
        <v>4.4470409999999996</v>
      </c>
      <c r="C3907">
        <f>LOG10(1.015348)</f>
        <v>6.6149176944088938E-3</v>
      </c>
      <c r="D3907">
        <f>LOG10(4.447041)</f>
        <v>0.64807113349473522</v>
      </c>
    </row>
    <row r="3908" spans="1:4">
      <c r="A3908">
        <v>1.0201279999999999</v>
      </c>
      <c r="B3908">
        <v>4.605067</v>
      </c>
      <c r="C3908">
        <f>LOG10(1.020128)</f>
        <v>8.6546680423044038E-3</v>
      </c>
      <c r="D3908">
        <f>LOG10(4.605067)</f>
        <v>0.66323595321226236</v>
      </c>
    </row>
    <row r="3909" spans="1:4">
      <c r="A3909">
        <v>1.013827</v>
      </c>
      <c r="B3909">
        <v>4.4615359999999997</v>
      </c>
      <c r="C3909">
        <f>LOG10(1.013827)</f>
        <v>5.9638530689460345E-3</v>
      </c>
      <c r="D3909">
        <f>LOG10(4.461536)</f>
        <v>0.64948440164528576</v>
      </c>
    </row>
    <row r="3910" spans="1:4">
      <c r="A3910">
        <v>1.0099050000000001</v>
      </c>
      <c r="B3910">
        <v>4.527514</v>
      </c>
      <c r="C3910">
        <f>LOG10(1.009905)</f>
        <v>4.2805223804120666E-3</v>
      </c>
      <c r="D3910">
        <f>LOG10(4.527514)</f>
        <v>0.65585980191560378</v>
      </c>
    </row>
    <row r="3911" spans="1:4">
      <c r="A3911">
        <v>1.010683</v>
      </c>
      <c r="B3911">
        <v>4.672644</v>
      </c>
      <c r="C3911">
        <f>LOG10(1.010683)</f>
        <v>4.6149607949904073E-3</v>
      </c>
      <c r="D3911">
        <f>LOG10(4.672644)</f>
        <v>0.66956269420105485</v>
      </c>
    </row>
    <row r="3912" spans="1:4">
      <c r="A3912">
        <v>1.0199560000000001</v>
      </c>
      <c r="B3912">
        <v>4.4157820000000001</v>
      </c>
      <c r="C3912">
        <f>LOG10(1.019956)</f>
        <v>8.5814370860650725E-3</v>
      </c>
      <c r="D3912">
        <f>LOG10(4.415782)</f>
        <v>0.64500762483572094</v>
      </c>
    </row>
    <row r="3913" spans="1:4">
      <c r="A3913">
        <v>1.347086</v>
      </c>
      <c r="B3913">
        <v>4.3091169999999996</v>
      </c>
      <c r="C3913">
        <f>LOG10(1.347086)</f>
        <v>0.12939532262216877</v>
      </c>
      <c r="D3913">
        <f>LOG10(4.309117)</f>
        <v>0.63438828609685072</v>
      </c>
    </row>
    <row r="3914" spans="1:4">
      <c r="A3914">
        <v>1.015474</v>
      </c>
      <c r="B3914">
        <v>4.4513720000000001</v>
      </c>
      <c r="C3914">
        <f>LOG10(1.015474)</f>
        <v>6.6688082912116226E-3</v>
      </c>
      <c r="D3914">
        <f>LOG10(4.451372)</f>
        <v>0.6484938896760114</v>
      </c>
    </row>
    <row r="3915" spans="1:4">
      <c r="A3915">
        <v>1.016904</v>
      </c>
      <c r="B3915">
        <v>4.509957</v>
      </c>
      <c r="C3915">
        <f>LOG10(1.016904)</f>
        <v>7.2799556384148941E-3</v>
      </c>
      <c r="D3915">
        <f>LOG10(4.509957)</f>
        <v>0.65417240113477915</v>
      </c>
    </row>
    <row r="3916" spans="1:4">
      <c r="A3916">
        <v>1.0217160000000001</v>
      </c>
      <c r="B3916">
        <v>4.5462930000000004</v>
      </c>
      <c r="C3916">
        <f>LOG10(1.021716)</f>
        <v>9.3301944550097608E-3</v>
      </c>
      <c r="D3916">
        <f>LOG10(4.546293)</f>
        <v>0.65765742175029251</v>
      </c>
    </row>
    <row r="3917" spans="1:4">
      <c r="A3917">
        <v>1.016143</v>
      </c>
      <c r="B3917">
        <v>4.5105050000000002</v>
      </c>
      <c r="C3917">
        <f>LOG10(1.016143)</f>
        <v>6.9548297400328762E-3</v>
      </c>
      <c r="D3917">
        <f>LOG10(4.510505)</f>
        <v>0.65422516858202873</v>
      </c>
    </row>
    <row r="3918" spans="1:4">
      <c r="A3918">
        <v>1.0138240000000001</v>
      </c>
      <c r="B3918">
        <v>4.5171429999999999</v>
      </c>
      <c r="C3918">
        <f>LOG10(1.013824)</f>
        <v>5.9625679528726074E-3</v>
      </c>
      <c r="D3918">
        <f>LOG10(4.517143)</f>
        <v>0.65486383931673653</v>
      </c>
    </row>
    <row r="3919" spans="1:4">
      <c r="A3919">
        <v>1.0128569999999999</v>
      </c>
      <c r="B3919">
        <v>4.4508279999999996</v>
      </c>
      <c r="C3919">
        <f>LOG10(1.012857)</f>
        <v>5.5481339142945015E-3</v>
      </c>
      <c r="D3919">
        <f>LOG10(4.450828)</f>
        <v>0.64844081151590494</v>
      </c>
    </row>
    <row r="3920" spans="1:4">
      <c r="A3920">
        <v>1.024187</v>
      </c>
      <c r="B3920">
        <v>3.9562369999999998</v>
      </c>
      <c r="C3920">
        <f>LOG10(1.024187)</f>
        <v>1.0379259035873979E-2</v>
      </c>
      <c r="D3920">
        <f>LOG10(3.956237)</f>
        <v>0.5972823002934895</v>
      </c>
    </row>
    <row r="3921" spans="1:4">
      <c r="A3921">
        <v>1.104727</v>
      </c>
      <c r="B3921">
        <v>3.734988</v>
      </c>
      <c r="C3921">
        <f>LOG10(1.104727)</f>
        <v>4.3254968480934901E-2</v>
      </c>
      <c r="D3921">
        <f>LOG10(3.734988)</f>
        <v>0.57228921082553941</v>
      </c>
    </row>
    <row r="3922" spans="1:4">
      <c r="A3922">
        <v>1.0088870000000001</v>
      </c>
      <c r="B3922">
        <v>3.6507839999999998</v>
      </c>
      <c r="C3922">
        <f>LOG10(1.008887)</f>
        <v>3.842525974590256E-3</v>
      </c>
      <c r="D3922">
        <f>LOG10(3.650784)</f>
        <v>0.56238613851447206</v>
      </c>
    </row>
    <row r="3923" spans="1:4">
      <c r="A3923">
        <v>1.0117499999999999</v>
      </c>
      <c r="B3923">
        <v>3.6547860000000001</v>
      </c>
      <c r="C3923">
        <f>LOG10(1.01175)</f>
        <v>5.0732130636042634E-3</v>
      </c>
      <c r="D3923">
        <f>LOG10(3.654786)</f>
        <v>0.56286195263723904</v>
      </c>
    </row>
    <row r="3924" spans="1:4">
      <c r="A3924">
        <v>1.0074620000000001</v>
      </c>
      <c r="B3924">
        <v>3.584076</v>
      </c>
      <c r="C3924">
        <f>LOG10(1.007462)</f>
        <v>3.2286741664507481E-3</v>
      </c>
      <c r="D3924">
        <f>LOG10(3.584076)</f>
        <v>0.5543772102620389</v>
      </c>
    </row>
    <row r="3925" spans="1:4">
      <c r="A3925">
        <v>1.011037</v>
      </c>
      <c r="B3925">
        <v>3.680272</v>
      </c>
      <c r="C3925">
        <f>LOG10(1.011037)</f>
        <v>4.767049361324948E-3</v>
      </c>
      <c r="D3925">
        <f>LOG10(3.680272)</f>
        <v>0.56587991751419409</v>
      </c>
    </row>
    <row r="3926" spans="1:4">
      <c r="A3926">
        <v>1.019811</v>
      </c>
      <c r="B3926">
        <v>3.8598080000000001</v>
      </c>
      <c r="C3926">
        <f>LOG10(1.019811)</f>
        <v>8.5196920926593825E-3</v>
      </c>
      <c r="D3926">
        <f>LOG10(3.859808)</f>
        <v>0.58656570192190871</v>
      </c>
    </row>
    <row r="3927" spans="1:4">
      <c r="A3927">
        <v>1.0164610000000001</v>
      </c>
      <c r="B3927">
        <v>3.5609030000000002</v>
      </c>
      <c r="C3927">
        <f>LOG10(1.016461)</f>
        <v>7.090720101728544E-3</v>
      </c>
      <c r="D3927">
        <f>LOG10(3.560903)</f>
        <v>0.55156014353145411</v>
      </c>
    </row>
    <row r="3928" spans="1:4">
      <c r="A3928">
        <v>1.014265</v>
      </c>
      <c r="B3928">
        <v>3.7766350000000002</v>
      </c>
      <c r="C3928">
        <f>LOG10(1.014265)</f>
        <v>6.1514392199007225E-3</v>
      </c>
      <c r="D3928">
        <f>LOG10(3.776635)</f>
        <v>0.57710501364781674</v>
      </c>
    </row>
    <row r="3929" spans="1:4">
      <c r="A3929">
        <v>1.012785</v>
      </c>
      <c r="B3929">
        <v>3.75406</v>
      </c>
      <c r="C3929">
        <f>LOG10(1.012785)</f>
        <v>5.5172605391273812E-3</v>
      </c>
      <c r="D3929">
        <f>LOG10(3.75406)</f>
        <v>0.57450120953750572</v>
      </c>
    </row>
    <row r="3930" spans="1:4">
      <c r="A3930">
        <v>1.013352</v>
      </c>
      <c r="B3930">
        <v>3.8412890000000002</v>
      </c>
      <c r="C3930">
        <f>LOG10(1.013352)</f>
        <v>5.7603289769152695E-3</v>
      </c>
      <c r="D3930">
        <f>LOG10(3.841289)</f>
        <v>0.58447698261004144</v>
      </c>
    </row>
    <row r="3931" spans="1:4">
      <c r="A3931">
        <v>1.011895</v>
      </c>
      <c r="B3931">
        <v>3.9713159999999998</v>
      </c>
      <c r="C3931">
        <f>LOG10(1.011895)</f>
        <v>5.1354499677883159E-3</v>
      </c>
      <c r="D3931">
        <f>LOG10(3.971316)</f>
        <v>0.59893444551165909</v>
      </c>
    </row>
    <row r="3932" spans="1:4">
      <c r="A3932">
        <v>1.0192019999999999</v>
      </c>
      <c r="B3932">
        <v>3.8549500000000001</v>
      </c>
      <c r="C3932">
        <f>LOG10(1.019202)</f>
        <v>8.2602672166593918E-3</v>
      </c>
      <c r="D3932">
        <f>LOG10(3.85495)</f>
        <v>0.5860187494777882</v>
      </c>
    </row>
    <row r="3933" spans="1:4">
      <c r="A3933">
        <v>1.01705</v>
      </c>
      <c r="B3933">
        <v>3.8496350000000001</v>
      </c>
      <c r="C3933">
        <f>LOG10(1.01705)</f>
        <v>7.3423041423306846E-3</v>
      </c>
      <c r="D3933">
        <f>LOG10(3.849635)</f>
        <v>0.58541955418369285</v>
      </c>
    </row>
    <row r="3934" spans="1:4">
      <c r="A3934">
        <v>1.0213270000000001</v>
      </c>
      <c r="B3934">
        <v>3.8732030000000002</v>
      </c>
      <c r="C3934">
        <f>LOG10(1.021327)</f>
        <v>9.1648131531948812E-3</v>
      </c>
      <c r="D3934">
        <f>LOG10(3.873203)</f>
        <v>0.58807025956533521</v>
      </c>
    </row>
    <row r="3935" spans="1:4">
      <c r="A3935">
        <v>1.0147820000000001</v>
      </c>
      <c r="B3935">
        <v>4.1068189999999998</v>
      </c>
      <c r="C3935">
        <f>LOG10(1.014782)</f>
        <v>6.3727551894204679E-3</v>
      </c>
      <c r="D3935">
        <f>LOG10(4.106819)</f>
        <v>0.61350556259715605</v>
      </c>
    </row>
    <row r="3936" spans="1:4">
      <c r="A3936">
        <v>1.0106980000000001</v>
      </c>
      <c r="B3936">
        <v>4.0779199999999998</v>
      </c>
      <c r="C3936">
        <f>LOG10(1.010698)</f>
        <v>4.6214063064785541E-3</v>
      </c>
      <c r="D3936">
        <f>LOG10(4.07792)</f>
        <v>0.61043870160412539</v>
      </c>
    </row>
    <row r="3937" spans="1:4">
      <c r="A3937">
        <v>1.017879</v>
      </c>
      <c r="B3937">
        <v>3.8683670000000001</v>
      </c>
      <c r="C3937">
        <f>LOG10(1.017879)</f>
        <v>7.6961544687204281E-3</v>
      </c>
      <c r="D3937">
        <f>LOG10(3.868367)</f>
        <v>0.58752766978376025</v>
      </c>
    </row>
    <row r="3938" spans="1:4">
      <c r="A3938">
        <v>1.0114719999999999</v>
      </c>
      <c r="B3938">
        <v>4.0283620000000004</v>
      </c>
      <c r="C3938">
        <f>LOG10(1.011472)</f>
        <v>4.9538649478473923E-3</v>
      </c>
      <c r="D3938">
        <f>LOG10(4.028362)</f>
        <v>0.60512849056538454</v>
      </c>
    </row>
    <row r="3939" spans="1:4">
      <c r="A3939">
        <v>1.0252859999999999</v>
      </c>
      <c r="B3939">
        <v>3.9951880000000002</v>
      </c>
      <c r="C3939">
        <f>LOG10(1.025286)</f>
        <v>1.0845027242002701E-2</v>
      </c>
      <c r="D3939">
        <f>LOG10(3.995188)</f>
        <v>0.60153722055652925</v>
      </c>
    </row>
    <row r="3940" spans="1:4">
      <c r="A3940">
        <v>1.026605</v>
      </c>
      <c r="B3940">
        <v>4.0807969999999996</v>
      </c>
      <c r="C3940">
        <f>LOG10(1.026605)</f>
        <v>1.1403375127472829E-2</v>
      </c>
      <c r="D3940">
        <f>LOG10(4.080797)</f>
        <v>0.61074499125143744</v>
      </c>
    </row>
    <row r="3941" spans="1:4">
      <c r="A3941">
        <v>1.0246010000000001</v>
      </c>
      <c r="B3941">
        <v>4.0328220000000004</v>
      </c>
      <c r="C3941">
        <f>LOG10(1.024601)</f>
        <v>1.0554775407460701E-2</v>
      </c>
      <c r="D3941">
        <f>LOG10(4.032822)</f>
        <v>0.60560905361590578</v>
      </c>
    </row>
    <row r="3942" spans="1:4">
      <c r="A3942">
        <v>1.027018</v>
      </c>
      <c r="B3942">
        <v>4.1100159999999999</v>
      </c>
      <c r="C3942">
        <f>LOG10(1.027018)</f>
        <v>1.1578055313119492E-2</v>
      </c>
      <c r="D3942">
        <f>LOG10(4.110016)</f>
        <v>0.61384351255689285</v>
      </c>
    </row>
    <row r="3943" spans="1:4">
      <c r="A3943">
        <v>1.0260100000000001</v>
      </c>
      <c r="B3943">
        <v>4.1998759999999997</v>
      </c>
      <c r="C3943">
        <f>LOG10(1.02601)</f>
        <v>1.1151593644856688E-2</v>
      </c>
      <c r="D3943">
        <f>LOG10(4.199876)</f>
        <v>0.62323646818105816</v>
      </c>
    </row>
    <row r="3944" spans="1:4">
      <c r="A3944">
        <v>1.0244979999999999</v>
      </c>
      <c r="B3944">
        <v>4.247763</v>
      </c>
      <c r="C3944">
        <f>LOG10(1.024498)</f>
        <v>1.0511114918949613E-2</v>
      </c>
      <c r="D3944">
        <f>LOG10(4.247763)</f>
        <v>0.62816027769122385</v>
      </c>
    </row>
    <row r="3945" spans="1:4">
      <c r="A3945">
        <v>1.019142</v>
      </c>
      <c r="B3945">
        <v>3.4868060000000001</v>
      </c>
      <c r="C3945">
        <f>LOG10(1.019142)</f>
        <v>8.2346997276372246E-3</v>
      </c>
      <c r="D3945">
        <f>LOG10(3.486806)</f>
        <v>0.54242778463628716</v>
      </c>
    </row>
    <row r="3946" spans="1:4">
      <c r="A3946">
        <v>1.027266</v>
      </c>
      <c r="B3946">
        <v>4.0886880000000003</v>
      </c>
      <c r="C3946">
        <f>LOG10(1.027266)</f>
        <v>1.1682914263522897E-2</v>
      </c>
      <c r="D3946">
        <f>LOG10(4.088688)</f>
        <v>0.61158397163330613</v>
      </c>
    </row>
    <row r="3947" spans="1:4">
      <c r="A3947">
        <v>1.0230870000000001</v>
      </c>
      <c r="B3947">
        <v>3.9629979999999998</v>
      </c>
      <c r="C3947">
        <f>LOG10(1.023087)</f>
        <v>9.9125662765607806E-3</v>
      </c>
      <c r="D3947">
        <f>LOG10(3.962998)</f>
        <v>0.59802385315952822</v>
      </c>
    </row>
    <row r="3948" spans="1:4">
      <c r="A3948">
        <v>1.0168759999999999</v>
      </c>
      <c r="B3948">
        <v>3.9192040000000001</v>
      </c>
      <c r="C3948">
        <f>LOG10(1.016876)</f>
        <v>7.2679973681062868E-3</v>
      </c>
      <c r="D3948">
        <f>LOG10(3.919204)</f>
        <v>0.59319786969614141</v>
      </c>
    </row>
    <row r="3949" spans="1:4">
      <c r="A3949">
        <v>1.0170110000000001</v>
      </c>
      <c r="B3949">
        <v>3.8727290000000001</v>
      </c>
      <c r="C3949">
        <f>LOG10(1.017011)</f>
        <v>7.3256502811178117E-3</v>
      </c>
      <c r="D3949">
        <f>LOG10(3.872729)</f>
        <v>0.5880171076438675</v>
      </c>
    </row>
    <row r="3950" spans="1:4">
      <c r="A3950">
        <v>1.0230189999999999</v>
      </c>
      <c r="B3950">
        <v>3.710521</v>
      </c>
      <c r="C3950">
        <f>LOG10(1.023019)</f>
        <v>9.8836997126776072E-3</v>
      </c>
      <c r="D3950">
        <f>LOG10(3.710521)</f>
        <v>0.56943489385737689</v>
      </c>
    </row>
    <row r="3951" spans="1:4">
      <c r="A3951">
        <v>1.017285</v>
      </c>
      <c r="B3951">
        <v>3.972032</v>
      </c>
      <c r="C3951">
        <f>LOG10(1.017285)</f>
        <v>7.4426408161835378E-3</v>
      </c>
      <c r="D3951">
        <f>LOG10(3.972032)</f>
        <v>0.5990127386570393</v>
      </c>
    </row>
    <row r="3952" spans="1:4">
      <c r="A3952">
        <v>1.0163329999999999</v>
      </c>
      <c r="B3952">
        <v>3.9029379999999998</v>
      </c>
      <c r="C3952">
        <f>LOG10(1.016333)</f>
        <v>7.0360272073603583E-3</v>
      </c>
      <c r="D3952">
        <f>LOG10(3.902938)</f>
        <v>0.59139165236458324</v>
      </c>
    </row>
    <row r="3953" spans="1:4">
      <c r="A3953">
        <v>1.011763</v>
      </c>
      <c r="B3953">
        <v>4.1434100000000003</v>
      </c>
      <c r="C3953">
        <f>LOG10(1.011763)</f>
        <v>5.0787932879614453E-3</v>
      </c>
      <c r="D3953">
        <f>LOG10(4.14341)</f>
        <v>0.61735790986781558</v>
      </c>
    </row>
    <row r="3954" spans="1:4">
      <c r="A3954">
        <v>1.0177750000000001</v>
      </c>
      <c r="B3954">
        <v>4.353523</v>
      </c>
      <c r="C3954">
        <f>LOG10(1.017775)</f>
        <v>7.6517789253744729E-3</v>
      </c>
      <c r="D3954">
        <f>LOG10(4.353523)</f>
        <v>0.63884084321305423</v>
      </c>
    </row>
    <row r="3955" spans="1:4">
      <c r="A3955">
        <v>1.0197689999999999</v>
      </c>
      <c r="B3955">
        <v>4.5629939999999998</v>
      </c>
      <c r="C3955">
        <f>LOG10(1.019769)</f>
        <v>8.5018056962027026E-3</v>
      </c>
      <c r="D3955">
        <f>LOG10(4.562994)</f>
        <v>0.6592498977078779</v>
      </c>
    </row>
    <row r="3956" spans="1:4">
      <c r="A3956">
        <v>1.016839</v>
      </c>
      <c r="B3956">
        <v>4.4503139999999997</v>
      </c>
      <c r="C3956">
        <f>LOG10(1.016839)</f>
        <v>7.2521948630039253E-3</v>
      </c>
      <c r="D3956">
        <f>LOG10(4.450314)</f>
        <v>0.64839065449921063</v>
      </c>
    </row>
    <row r="3957" spans="1:4">
      <c r="A3957">
        <v>1.0178020000000001</v>
      </c>
      <c r="B3957">
        <v>4.3934939999999996</v>
      </c>
      <c r="C3957">
        <f>LOG10(1.017802)</f>
        <v>7.6632999349084529E-3</v>
      </c>
      <c r="D3957">
        <f>LOG10(4.393494)</f>
        <v>0.64281003764096245</v>
      </c>
    </row>
    <row r="3958" spans="1:4">
      <c r="A3958">
        <v>1.0221309999999999</v>
      </c>
      <c r="B3958">
        <v>4.3956879999999998</v>
      </c>
      <c r="C3958">
        <f>LOG10(1.022131)</f>
        <v>9.5065601149311625E-3</v>
      </c>
      <c r="D3958">
        <f>LOG10(4.395688)</f>
        <v>0.64302685920936031</v>
      </c>
    </row>
    <row r="3959" spans="1:4">
      <c r="A3959">
        <v>1.030367</v>
      </c>
      <c r="B3959">
        <v>4.676126</v>
      </c>
      <c r="C3959">
        <f>LOG10(1.030367)</f>
        <v>1.2991940905290121E-2</v>
      </c>
      <c r="D3959">
        <f>LOG10(4.676126)</f>
        <v>0.66988620487805584</v>
      </c>
    </row>
    <row r="3960" spans="1:4">
      <c r="A3960">
        <v>1.028824</v>
      </c>
      <c r="B3960">
        <v>4.517417</v>
      </c>
      <c r="C3960">
        <f>LOG10(1.028824)</f>
        <v>1.2341086748490665E-2</v>
      </c>
      <c r="D3960">
        <f>LOG10(4.517417)</f>
        <v>0.65489018186979453</v>
      </c>
    </row>
    <row r="3961" spans="1:4">
      <c r="A3961">
        <v>1.03484</v>
      </c>
      <c r="B3961">
        <v>4.4118560000000002</v>
      </c>
      <c r="C3961">
        <f>LOG10(1.03484)</f>
        <v>1.487320729183219E-2</v>
      </c>
      <c r="D3961">
        <f>LOG10(4.411856)</f>
        <v>0.64462132892092072</v>
      </c>
    </row>
    <row r="3962" spans="1:4">
      <c r="A3962">
        <v>1.025309</v>
      </c>
      <c r="B3962">
        <v>4.4491269999999998</v>
      </c>
      <c r="C3962">
        <f>LOG10(1.025309)</f>
        <v>1.0854769558827075E-2</v>
      </c>
      <c r="D3962">
        <f>LOG10(4.449127)</f>
        <v>0.64827480282873473</v>
      </c>
    </row>
    <row r="3963" spans="1:4">
      <c r="A3963">
        <v>1.02295</v>
      </c>
      <c r="B3963">
        <v>4.8141030000000002</v>
      </c>
      <c r="C3963">
        <f>LOG10(1.02295)</f>
        <v>9.8544066791442248E-3</v>
      </c>
      <c r="D3963">
        <f>LOG10(4.814103)</f>
        <v>0.68251537797330664</v>
      </c>
    </row>
    <row r="3964" spans="1:4">
      <c r="A3964">
        <v>1.0269269999999999</v>
      </c>
      <c r="B3964">
        <v>4.8120919999999998</v>
      </c>
      <c r="C3964">
        <f>LOG10(1.026927)</f>
        <v>1.1539572493103297E-2</v>
      </c>
      <c r="D3964">
        <f>LOG10(4.812092)</f>
        <v>0.68233392180795505</v>
      </c>
    </row>
    <row r="3965" spans="1:4">
      <c r="A3965">
        <v>1.0274620000000001</v>
      </c>
      <c r="B3965">
        <v>4.5857390000000002</v>
      </c>
      <c r="C3965">
        <f>LOG10(1.027462)</f>
        <v>1.1765768752011158E-2</v>
      </c>
      <c r="D3965">
        <f>LOG10(4.585739)</f>
        <v>0.66140933297450655</v>
      </c>
    </row>
    <row r="3966" spans="1:4">
      <c r="A3966">
        <v>1.0297160000000001</v>
      </c>
      <c r="B3966">
        <v>4.6129509999999998</v>
      </c>
      <c r="C3966">
        <f>LOG10(1.029716)</f>
        <v>1.2717460976927997E-2</v>
      </c>
      <c r="D3966">
        <f>LOG10(4.612951)</f>
        <v>0.66397884144055885</v>
      </c>
    </row>
    <row r="3967" spans="1:4">
      <c r="A3967">
        <v>1.0239959999999999</v>
      </c>
      <c r="B3967">
        <v>4.4732370000000001</v>
      </c>
      <c r="C3967">
        <f>LOG10(1.023996)</f>
        <v>1.0298260173678565E-2</v>
      </c>
      <c r="D3967">
        <f>LOG10(4.473237)</f>
        <v>0.65062190847122947</v>
      </c>
    </row>
    <row r="3968" spans="1:4">
      <c r="A3968">
        <v>1.0176829999999999</v>
      </c>
      <c r="B3968">
        <v>2.6873969999999998</v>
      </c>
      <c r="C3968">
        <f>LOG10(1.017683)</f>
        <v>7.6125198570346731E-3</v>
      </c>
      <c r="D3968">
        <f>LOG10(2.687397)</f>
        <v>0.42933182801618108</v>
      </c>
    </row>
    <row r="3969" spans="1:4">
      <c r="A3969">
        <v>1.012025</v>
      </c>
      <c r="B3969">
        <v>3.642328</v>
      </c>
      <c r="C3969">
        <f>LOG10(1.012025)</f>
        <v>5.191240989889042E-3</v>
      </c>
      <c r="D3969">
        <f>LOG10(3.642328)</f>
        <v>0.56137905243527697</v>
      </c>
    </row>
    <row r="3970" spans="1:4">
      <c r="A3970">
        <v>1.019873</v>
      </c>
      <c r="B3970">
        <v>3.6420490000000001</v>
      </c>
      <c r="C3970">
        <f>LOG10(1.019873)</f>
        <v>8.5460944744854862E-3</v>
      </c>
      <c r="D3970">
        <f>LOG10(3.642049)</f>
        <v>0.56134578448099337</v>
      </c>
    </row>
    <row r="3971" spans="1:4">
      <c r="A3971">
        <v>1.0156719999999999</v>
      </c>
      <c r="B3971">
        <v>3.6315230000000001</v>
      </c>
      <c r="C3971">
        <f>LOG10(1.015672)</f>
        <v>6.753480006282021E-3</v>
      </c>
      <c r="D3971">
        <f>LOG10(3.631523)</f>
        <v>0.56008879908021791</v>
      </c>
    </row>
    <row r="3972" spans="1:4">
      <c r="A3972">
        <v>1.017787</v>
      </c>
      <c r="B3972">
        <v>3.6012140000000001</v>
      </c>
      <c r="C3972">
        <f>LOG10(1.017787)</f>
        <v>7.6568994117884029E-3</v>
      </c>
      <c r="D3972">
        <f>LOG10(3.601214)</f>
        <v>0.55644892982939409</v>
      </c>
    </row>
    <row r="3973" spans="1:4">
      <c r="A3973">
        <v>1.025674</v>
      </c>
      <c r="B3973">
        <v>3.5027710000000001</v>
      </c>
      <c r="C3973">
        <f>LOG10(1.025674)</f>
        <v>1.1009346644612899E-2</v>
      </c>
      <c r="D3973">
        <f>LOG10(3.502771)</f>
        <v>0.54441174545721305</v>
      </c>
    </row>
    <row r="3974" spans="1:4">
      <c r="A3974">
        <v>1.0360469999999999</v>
      </c>
      <c r="B3974">
        <v>3.5244849999999999</v>
      </c>
      <c r="C3974">
        <f>LOG10(1.036047)</f>
        <v>1.537945751119639E-2</v>
      </c>
      <c r="D3974">
        <f>LOG10(3.524485)</f>
        <v>0.54709566657616171</v>
      </c>
    </row>
    <row r="3975" spans="1:4">
      <c r="A3975">
        <v>1.036449</v>
      </c>
      <c r="B3975">
        <v>3.4832450000000001</v>
      </c>
      <c r="C3975">
        <f>LOG10(1.036449)</f>
        <v>1.5547936855826882E-2</v>
      </c>
      <c r="D3975">
        <f>LOG10(3.483245)</f>
        <v>0.54198402237841714</v>
      </c>
    </row>
    <row r="3976" spans="1:4">
      <c r="A3976">
        <v>1.023231</v>
      </c>
      <c r="B3976">
        <v>3.7729979999999999</v>
      </c>
      <c r="C3976">
        <f>LOG10(1.023231)</f>
        <v>9.973689137716537E-3</v>
      </c>
      <c r="D3976">
        <f>LOG10(3.772998)</f>
        <v>0.5766865749891763</v>
      </c>
    </row>
    <row r="3977" spans="1:4">
      <c r="A3977">
        <v>1.0174300000000001</v>
      </c>
      <c r="B3977">
        <v>3.79251</v>
      </c>
      <c r="C3977">
        <f>LOG10(1.01743)</f>
        <v>7.5045391164197863E-3</v>
      </c>
      <c r="D3977">
        <f>LOG10(3.79251)</f>
        <v>0.57892673459761934</v>
      </c>
    </row>
    <row r="3978" spans="1:4">
      <c r="A3978">
        <v>1.0241960000000001</v>
      </c>
      <c r="B3978">
        <v>3.785193</v>
      </c>
      <c r="C3978">
        <f>LOG10(1.024196)</f>
        <v>1.0383075363520925E-2</v>
      </c>
      <c r="D3978">
        <f>LOG10(3.785193)</f>
        <v>0.5780880282741595</v>
      </c>
    </row>
    <row r="3979" spans="1:4">
      <c r="A3979">
        <v>1.022564</v>
      </c>
      <c r="B3979">
        <v>3.7002030000000001</v>
      </c>
      <c r="C3979">
        <f>LOG10(1.022564)</f>
        <v>9.6904990529881555E-3</v>
      </c>
      <c r="D3979">
        <f>LOG10(3.700203)</f>
        <v>0.56822555092143356</v>
      </c>
    </row>
    <row r="3980" spans="1:4">
      <c r="A3980">
        <v>1.0226299999999999</v>
      </c>
      <c r="B3980">
        <v>3.6977579999999999</v>
      </c>
      <c r="C3980">
        <f>LOG10(1.02263)</f>
        <v>9.7185290939676618E-3</v>
      </c>
      <c r="D3980">
        <f>LOG10(3.697758)</f>
        <v>0.56793848532405755</v>
      </c>
    </row>
    <row r="3981" spans="1:4">
      <c r="A3981">
        <v>1.028877</v>
      </c>
      <c r="B3981">
        <v>3.8512460000000002</v>
      </c>
      <c r="C3981">
        <f>LOG10(1.028877)</f>
        <v>1.2363458908047372E-2</v>
      </c>
      <c r="D3981">
        <f>LOG10(3.851246)</f>
        <v>0.58560126025616754</v>
      </c>
    </row>
    <row r="3982" spans="1:4">
      <c r="A3982">
        <v>1.0292539999999999</v>
      </c>
      <c r="B3982">
        <v>3.9006439999999998</v>
      </c>
      <c r="C3982">
        <f>LOG10(1.029254)</f>
        <v>1.2522563475743678E-2</v>
      </c>
      <c r="D3982">
        <f>LOG10(3.900644)</f>
        <v>0.59113631537442046</v>
      </c>
    </row>
    <row r="3983" spans="1:4">
      <c r="A3983">
        <v>1.021598</v>
      </c>
      <c r="B3983">
        <v>3.7693919999999999</v>
      </c>
      <c r="C3983">
        <f>LOG10(1.021598)</f>
        <v>9.2800340304038716E-3</v>
      </c>
      <c r="D3983">
        <f>LOG10(3.769392)</f>
        <v>0.57627130449240649</v>
      </c>
    </row>
    <row r="3984" spans="1:4">
      <c r="A3984">
        <v>1.025407</v>
      </c>
      <c r="B3984">
        <v>3.8363779999999998</v>
      </c>
      <c r="C3984">
        <f>LOG10(1.025407)</f>
        <v>1.0896277850817666E-2</v>
      </c>
      <c r="D3984">
        <f>LOG10(3.836378)</f>
        <v>0.5839213918318773</v>
      </c>
    </row>
    <row r="3985" spans="1:4">
      <c r="A3985">
        <v>1.0206230000000001</v>
      </c>
      <c r="B3985">
        <v>3.3337680000000001</v>
      </c>
      <c r="C3985">
        <f>LOG10(1.020623)</f>
        <v>8.8653510435702607E-3</v>
      </c>
      <c r="D3985">
        <f>LOG10(3.333768)</f>
        <v>0.52293537358869224</v>
      </c>
    </row>
    <row r="3986" spans="1:4">
      <c r="A3986">
        <v>1.014707</v>
      </c>
      <c r="B3986">
        <v>3.6498930000000001</v>
      </c>
      <c r="C3986">
        <f>LOG10(1.014707)</f>
        <v>6.3406563840979532E-3</v>
      </c>
      <c r="D3986">
        <f>LOG10(3.649893)</f>
        <v>0.56228013289737733</v>
      </c>
    </row>
    <row r="3987" spans="1:4">
      <c r="A3987">
        <v>1.014958</v>
      </c>
      <c r="B3987">
        <v>3.8599380000000001</v>
      </c>
      <c r="C3987">
        <f>LOG10(1.014958)</f>
        <v>6.4480710712639744E-3</v>
      </c>
      <c r="D3987">
        <f>LOG10(3.859938)</f>
        <v>0.58658032890125567</v>
      </c>
    </row>
    <row r="3988" spans="1:4">
      <c r="A3988">
        <v>1.0167729999999999</v>
      </c>
      <c r="B3988">
        <v>3.8073109999999999</v>
      </c>
      <c r="C3988">
        <f>LOG10(1.016773)</f>
        <v>7.2240051829511607E-3</v>
      </c>
      <c r="D3988">
        <f>LOG10(3.807311)</f>
        <v>0.58061835358539671</v>
      </c>
    </row>
    <row r="3989" spans="1:4">
      <c r="A3989">
        <v>1.011849</v>
      </c>
      <c r="B3989">
        <v>3.9358369999999998</v>
      </c>
      <c r="C3989">
        <f>LOG10(1.011849)</f>
        <v>5.1157068123585912E-3</v>
      </c>
      <c r="D3989">
        <f>LOG10(3.935837)</f>
        <v>0.59503710412251787</v>
      </c>
    </row>
    <row r="3990" spans="1:4">
      <c r="A3990">
        <v>1.021129</v>
      </c>
      <c r="B3990">
        <v>3.8923019999999999</v>
      </c>
      <c r="C3990">
        <f>LOG10(1.021129)</f>
        <v>9.0806103035998079E-3</v>
      </c>
      <c r="D3990">
        <f>LOG10(3.892302)</f>
        <v>0.59020652939827534</v>
      </c>
    </row>
    <row r="3991" spans="1:4">
      <c r="A3991">
        <v>1.0459000000000001</v>
      </c>
      <c r="B3991">
        <v>3.9072719999999999</v>
      </c>
      <c r="C3991">
        <f>LOG10(1.0459)</f>
        <v>1.9490162997507755E-2</v>
      </c>
      <c r="D3991">
        <f>LOG10(3.907272)</f>
        <v>0.59187364516062013</v>
      </c>
    </row>
    <row r="3992" spans="1:4">
      <c r="A3992">
        <v>1.0214399999999999</v>
      </c>
      <c r="B3992">
        <v>3.951095</v>
      </c>
      <c r="C3992">
        <f>LOG10(1.02144)</f>
        <v>9.2128609985977494E-3</v>
      </c>
      <c r="D3992">
        <f>LOG10(3.951095)</f>
        <v>0.59671747196941738</v>
      </c>
    </row>
    <row r="3993" spans="1:4">
      <c r="A3993">
        <v>1.014108</v>
      </c>
      <c r="B3993">
        <v>4.1163020000000001</v>
      </c>
      <c r="C3993">
        <f>LOG10(1.014108)</f>
        <v>6.0842087511506857E-3</v>
      </c>
      <c r="D3993">
        <f>LOG10(4.116302)</f>
        <v>0.61450723006564634</v>
      </c>
    </row>
    <row r="3994" spans="1:4">
      <c r="A3994">
        <v>1.0145770000000001</v>
      </c>
      <c r="B3994">
        <v>3.4114599999999999</v>
      </c>
      <c r="C3994">
        <f>LOG10(1.014577)</f>
        <v>6.2850128342304724E-3</v>
      </c>
      <c r="D3994">
        <f>LOG10(3.41146)</f>
        <v>0.53294028346258504</v>
      </c>
    </row>
    <row r="3995" spans="1:4">
      <c r="A3995">
        <v>1.01535</v>
      </c>
      <c r="B3995">
        <v>3.821879</v>
      </c>
      <c r="C3995">
        <f>LOG10(1.01535)</f>
        <v>6.6157731529397357E-3</v>
      </c>
      <c r="D3995">
        <f>LOG10(3.821879)</f>
        <v>0.5822769332516583</v>
      </c>
    </row>
    <row r="3996" spans="1:4">
      <c r="A3996">
        <v>1.0138769999999999</v>
      </c>
      <c r="B3996">
        <v>3.702836</v>
      </c>
      <c r="C3996">
        <f>LOG10(1.013877)</f>
        <v>5.985271110336211E-3</v>
      </c>
      <c r="D3996">
        <f>LOG10(3.702836)</f>
        <v>0.56853447740934426</v>
      </c>
    </row>
    <row r="3997" spans="1:4">
      <c r="A3997">
        <v>1.0125189999999999</v>
      </c>
      <c r="B3997">
        <v>3.7239369999999998</v>
      </c>
      <c r="C3997">
        <f>LOG10(1.012519)</f>
        <v>5.4031815338515792E-3</v>
      </c>
      <c r="D3997">
        <f>LOG10(3.723937)</f>
        <v>0.571002325160058</v>
      </c>
    </row>
    <row r="3998" spans="1:4">
      <c r="A3998">
        <v>1.016364</v>
      </c>
      <c r="B3998">
        <v>3.6186410000000002</v>
      </c>
      <c r="C3998">
        <f>LOG10(1.016364)</f>
        <v>7.0492737747927829E-3</v>
      </c>
      <c r="D3998">
        <f>LOG10(3.618641)</f>
        <v>0.5585454995346617</v>
      </c>
    </row>
    <row r="3999" spans="1:4">
      <c r="A3999">
        <v>1.014019</v>
      </c>
      <c r="B3999">
        <v>3.5406599999999999</v>
      </c>
      <c r="C3999">
        <f>LOG10(1.014019)</f>
        <v>6.0460925888845126E-3</v>
      </c>
      <c r="D3999">
        <f>LOG10(3.54066)</f>
        <v>0.54908422463630324</v>
      </c>
    </row>
    <row r="4000" spans="1:4">
      <c r="A4000">
        <v>1.0102580000000001</v>
      </c>
      <c r="B4000">
        <v>3.8668260000000001</v>
      </c>
      <c r="C4000">
        <f>LOG10(1.010258)</f>
        <v>4.4322982060976089E-3</v>
      </c>
      <c r="D4000">
        <f>LOG10(3.866826)</f>
        <v>0.58735463006633715</v>
      </c>
    </row>
    <row r="4001" spans="1:4">
      <c r="A4001">
        <v>1.012945</v>
      </c>
      <c r="B4001">
        <v>3.81121</v>
      </c>
      <c r="C4001">
        <f>LOG10(1.012945)</f>
        <v>5.5858650592253119E-3</v>
      </c>
      <c r="D4001">
        <f>LOG10(3.81121)</f>
        <v>0.58106287932281397</v>
      </c>
    </row>
    <row r="4002" spans="1:4">
      <c r="A4002">
        <v>1.017685</v>
      </c>
      <c r="B4002">
        <v>4.0399599999999998</v>
      </c>
      <c r="C4002">
        <f>LOG10(1.017685)</f>
        <v>7.6133733527797495E-3</v>
      </c>
      <c r="D4002">
        <f>LOG10(4.03996)</f>
        <v>0.60637706514395251</v>
      </c>
    </row>
    <row r="4003" spans="1:4">
      <c r="A4003">
        <v>1.020025</v>
      </c>
      <c r="B4003">
        <v>4.2185810000000004</v>
      </c>
      <c r="C4003">
        <f>LOG10(1.020025)</f>
        <v>8.6108161040683757E-3</v>
      </c>
      <c r="D4003">
        <f>LOG10(4.218581)</f>
        <v>0.6251663923113796</v>
      </c>
    </row>
    <row r="4004" spans="1:4">
      <c r="A4004">
        <v>1.0138910000000001</v>
      </c>
      <c r="B4004">
        <v>4.4745210000000002</v>
      </c>
      <c r="C4004">
        <f>LOG10(1.013891)</f>
        <v>5.9912679726467121E-3</v>
      </c>
      <c r="D4004">
        <f>LOG10(4.474521)</f>
        <v>0.65074655067067022</v>
      </c>
    </row>
    <row r="4005" spans="1:4">
      <c r="A4005">
        <v>1.0147630000000001</v>
      </c>
      <c r="B4005">
        <v>4.3721490000000003</v>
      </c>
      <c r="C4005">
        <f>LOG10(1.014763)</f>
        <v>6.3646237164485461E-3</v>
      </c>
      <c r="D4005">
        <f>LOG10(4.372149)</f>
        <v>0.64069495400391308</v>
      </c>
    </row>
    <row r="4006" spans="1:4">
      <c r="A4006">
        <v>1.018135</v>
      </c>
      <c r="B4006">
        <v>4.251468</v>
      </c>
      <c r="C4006">
        <f>LOG10(1.018135)</f>
        <v>7.8053672619066679E-3</v>
      </c>
      <c r="D4006">
        <f>LOG10(4.251468)</f>
        <v>0.62853891457198952</v>
      </c>
    </row>
    <row r="4007" spans="1:4">
      <c r="A4007">
        <v>1.022878</v>
      </c>
      <c r="B4007">
        <v>4.2368439999999996</v>
      </c>
      <c r="C4007">
        <f>LOG10(1.022878)</f>
        <v>9.823837928780093E-3</v>
      </c>
      <c r="D4007">
        <f>LOG10(4.236844)</f>
        <v>0.6270424736336464</v>
      </c>
    </row>
    <row r="4008" spans="1:4">
      <c r="A4008">
        <v>1.0320339999999999</v>
      </c>
      <c r="B4008">
        <v>4.4942700000000002</v>
      </c>
      <c r="C4008">
        <f>LOG10(1.032034)</f>
        <v>1.3694005207036959E-2</v>
      </c>
      <c r="D4008">
        <f>LOG10(4.49427)</f>
        <v>0.65265915975818201</v>
      </c>
    </row>
    <row r="4009" spans="1:4">
      <c r="A4009">
        <v>1.0520689999999999</v>
      </c>
      <c r="B4009">
        <v>4.4439820000000001</v>
      </c>
      <c r="C4009">
        <f>LOG10(1.052069)</f>
        <v>2.2044223977946975E-2</v>
      </c>
      <c r="D4009">
        <f>LOG10(4.443982)</f>
        <v>0.64777229119670898</v>
      </c>
    </row>
    <row r="4010" spans="1:4">
      <c r="A4010">
        <v>1.027542</v>
      </c>
      <c r="B4010">
        <v>4.2653790000000003</v>
      </c>
      <c r="C4010">
        <f>LOG10(1.027542)</f>
        <v>1.1799582368500225E-2</v>
      </c>
      <c r="D4010">
        <f>LOG10(4.265379)</f>
        <v>0.62995762642869291</v>
      </c>
    </row>
    <row r="4011" spans="1:4">
      <c r="A4011">
        <v>1.0252600000000001</v>
      </c>
      <c r="B4011">
        <v>4.2809480000000004</v>
      </c>
      <c r="C4011">
        <f>LOG10(1.02526)</f>
        <v>1.083401392503246E-2</v>
      </c>
      <c r="D4011">
        <f>LOG10(4.280948)</f>
        <v>0.63153995255979034</v>
      </c>
    </row>
    <row r="4012" spans="1:4">
      <c r="A4012">
        <v>1.0203629999999999</v>
      </c>
      <c r="B4012">
        <v>4.630484</v>
      </c>
      <c r="C4012">
        <f>LOG10(1.020363)</f>
        <v>8.7547020083434488E-3</v>
      </c>
      <c r="D4012">
        <f>LOG10(4.630484)</f>
        <v>0.66562638789557482</v>
      </c>
    </row>
    <row r="4013" spans="1:4">
      <c r="A4013">
        <v>1.029425</v>
      </c>
      <c r="B4013">
        <v>4.6776330000000002</v>
      </c>
      <c r="C4013">
        <f>LOG10(1.029425)</f>
        <v>1.2594711058320964E-2</v>
      </c>
      <c r="D4013">
        <f>LOG10(4.677633)</f>
        <v>0.67002614472253785</v>
      </c>
    </row>
    <row r="4014" spans="1:4">
      <c r="A4014">
        <v>1.0313619999999999</v>
      </c>
      <c r="B4014">
        <v>4.4670779999999999</v>
      </c>
      <c r="C4014">
        <f>LOG10(1.031362)</f>
        <v>1.3411126009677626E-2</v>
      </c>
      <c r="D4014">
        <f>LOG10(4.467078)</f>
        <v>0.65002353578812244</v>
      </c>
    </row>
    <row r="4015" spans="1:4">
      <c r="A4015">
        <v>1.038983</v>
      </c>
      <c r="B4015">
        <v>4.5461650000000002</v>
      </c>
      <c r="C4015">
        <f>LOG10(1.038983)</f>
        <v>1.6608441622054243E-2</v>
      </c>
      <c r="D4015">
        <f>LOG10(4.546165)</f>
        <v>0.65764519410102817</v>
      </c>
    </row>
    <row r="4016" spans="1:4">
      <c r="A4016">
        <v>1.0330410000000001</v>
      </c>
      <c r="B4016">
        <v>4.430714</v>
      </c>
      <c r="C4016">
        <f>LOG10(1.033041)</f>
        <v>1.411755842223811E-2</v>
      </c>
      <c r="D4016">
        <f>LOG10(4.430714)</f>
        <v>0.64647371748127969</v>
      </c>
    </row>
    <row r="4017" spans="1:4">
      <c r="A4017">
        <v>1.030278</v>
      </c>
      <c r="B4017">
        <v>2.8053720000000002</v>
      </c>
      <c r="C4017">
        <f>LOG10(1.030278)</f>
        <v>1.2954426234967552E-2</v>
      </c>
      <c r="D4017">
        <f>LOG10(2.805372)</f>
        <v>0.44799045804683557</v>
      </c>
    </row>
    <row r="4018" spans="1:4">
      <c r="A4018">
        <v>1.0146409999999999</v>
      </c>
      <c r="B4018">
        <v>3.604679</v>
      </c>
      <c r="C4018">
        <f>LOG10(1.014641)</f>
        <v>6.312407472806471E-3</v>
      </c>
      <c r="D4018">
        <f>LOG10(3.604679)</f>
        <v>0.55686659645191494</v>
      </c>
    </row>
    <row r="4019" spans="1:4">
      <c r="A4019">
        <v>1.013398</v>
      </c>
      <c r="B4019">
        <v>3.584311</v>
      </c>
      <c r="C4019">
        <f>LOG10(1.013398)</f>
        <v>5.7800428500332911E-3</v>
      </c>
      <c r="D4019">
        <f>LOG10(3.584311)</f>
        <v>0.55440568506488752</v>
      </c>
    </row>
    <row r="4020" spans="1:4">
      <c r="A4020">
        <v>1.02294</v>
      </c>
      <c r="B4020">
        <v>3.5641959999999999</v>
      </c>
      <c r="C4020">
        <f>LOG10(1.02294)</f>
        <v>9.8501611480363988E-3</v>
      </c>
      <c r="D4020">
        <f>LOG10(3.564196)</f>
        <v>0.55196157846751126</v>
      </c>
    </row>
    <row r="4021" spans="1:4">
      <c r="A4021">
        <v>1.0153270000000001</v>
      </c>
      <c r="B4021">
        <v>3.5182730000000002</v>
      </c>
      <c r="C4021">
        <f>LOG10(1.015327)</f>
        <v>6.6059352780988316E-3</v>
      </c>
      <c r="D4021">
        <f>LOG10(3.518273)</f>
        <v>0.54632953546070417</v>
      </c>
    </row>
    <row r="4022" spans="1:4">
      <c r="A4022">
        <v>1.0291440000000001</v>
      </c>
      <c r="B4022">
        <v>3.4888490000000001</v>
      </c>
      <c r="C4022">
        <f>LOG10(1.029144)</f>
        <v>1.2476146414461301E-2</v>
      </c>
      <c r="D4022">
        <f>LOG10(3.488849)</f>
        <v>0.54268217326413559</v>
      </c>
    </row>
    <row r="4023" spans="1:4">
      <c r="A4023">
        <v>1.019236</v>
      </c>
      <c r="B4023">
        <v>3.4928080000000001</v>
      </c>
      <c r="C4023">
        <f>LOG10(1.019236)</f>
        <v>8.2747547923287205E-3</v>
      </c>
      <c r="D4023">
        <f>LOG10(3.492808)</f>
        <v>0.54317471308330623</v>
      </c>
    </row>
    <row r="4024" spans="1:4">
      <c r="A4024">
        <v>1.018581</v>
      </c>
      <c r="B4024">
        <v>3.5134210000000001</v>
      </c>
      <c r="C4024">
        <f>LOG10(1.018581)</f>
        <v>7.9955708465251109E-3</v>
      </c>
      <c r="D4024">
        <f>LOG10(3.513421)</f>
        <v>0.54573019278150769</v>
      </c>
    </row>
    <row r="4025" spans="1:4">
      <c r="A4025">
        <v>1.014648</v>
      </c>
      <c r="B4025">
        <v>3.861631</v>
      </c>
      <c r="C4025">
        <f>LOG10(1.014648)</f>
        <v>6.3154036565667678E-3</v>
      </c>
      <c r="D4025">
        <f>LOG10(3.861631)</f>
        <v>0.58677077220873475</v>
      </c>
    </row>
    <row r="4026" spans="1:4">
      <c r="A4026">
        <v>1.012319</v>
      </c>
      <c r="B4026">
        <v>3.8900519999999998</v>
      </c>
      <c r="C4026">
        <f>LOG10(1.012319)</f>
        <v>5.3173881057717908E-3</v>
      </c>
      <c r="D4026">
        <f>LOG10(3.890052)</f>
        <v>0.5899554067658408</v>
      </c>
    </row>
    <row r="4027" spans="1:4">
      <c r="A4027">
        <v>1.0100439999999999</v>
      </c>
      <c r="B4027">
        <v>3.8746049999999999</v>
      </c>
      <c r="C4027">
        <f>LOG10(1.010044)</f>
        <v>4.3402931301486083E-3</v>
      </c>
      <c r="D4027">
        <f>LOG10(3.874605)</f>
        <v>0.58822743456767757</v>
      </c>
    </row>
    <row r="4028" spans="1:4">
      <c r="A4028">
        <v>1.012229</v>
      </c>
      <c r="B4028">
        <v>3.7585039999999998</v>
      </c>
      <c r="C4028">
        <f>LOG10(1.012229)</f>
        <v>5.2787755330918574E-3</v>
      </c>
      <c r="D4028">
        <f>LOG10(3.758504)</f>
        <v>0.57501501678166245</v>
      </c>
    </row>
    <row r="4029" spans="1:4">
      <c r="A4029">
        <v>1.014311</v>
      </c>
      <c r="B4029">
        <v>3.7223069999999998</v>
      </c>
      <c r="C4029">
        <f>LOG10(1.014311)</f>
        <v>6.1711353477963199E-3</v>
      </c>
      <c r="D4029">
        <f>LOG10(3.722307)</f>
        <v>0.57081218902785247</v>
      </c>
    </row>
    <row r="4030" spans="1:4">
      <c r="A4030">
        <v>1.017323</v>
      </c>
      <c r="B4030">
        <v>3.949201</v>
      </c>
      <c r="C4030">
        <f>LOG10(1.017323)</f>
        <v>7.4588632927630408E-3</v>
      </c>
      <c r="D4030">
        <f>LOG10(3.949201)</f>
        <v>0.59650923831222702</v>
      </c>
    </row>
    <row r="4031" spans="1:4">
      <c r="A4031">
        <v>1.0242119999999999</v>
      </c>
      <c r="B4031">
        <v>3.9446300000000001</v>
      </c>
      <c r="C4031">
        <f>LOG10(1.024212)</f>
        <v>1.038985986320117E-2</v>
      </c>
      <c r="D4031">
        <f>LOG10(3.94463)</f>
        <v>0.59600627332636369</v>
      </c>
    </row>
    <row r="4032" spans="1:4">
      <c r="A4032">
        <v>1.0131060000000001</v>
      </c>
      <c r="B4032">
        <v>3.8265980000000002</v>
      </c>
      <c r="C4032">
        <f>LOG10(1.013106)</f>
        <v>5.6548874201961209E-3</v>
      </c>
      <c r="D4032">
        <f>LOG10(3.826598)</f>
        <v>0.58281284018323565</v>
      </c>
    </row>
    <row r="4033" spans="1:4">
      <c r="A4033">
        <v>1.015339</v>
      </c>
      <c r="B4033">
        <v>3.8918430000000002</v>
      </c>
      <c r="C4033">
        <f>LOG10(1.015339)</f>
        <v>6.6110681101675776E-3</v>
      </c>
      <c r="D4033">
        <f>LOG10(3.891843)</f>
        <v>0.59015531216955608</v>
      </c>
    </row>
    <row r="4034" spans="1:4">
      <c r="A4034">
        <v>1.0302629999999999</v>
      </c>
      <c r="B4034">
        <v>3.9368470000000002</v>
      </c>
      <c r="C4034">
        <f>LOG10(1.030263)</f>
        <v>1.2948103218605629E-2</v>
      </c>
      <c r="D4034">
        <f>LOG10(3.936847)</f>
        <v>0.59514853687636116</v>
      </c>
    </row>
    <row r="4035" spans="1:4">
      <c r="A4035">
        <v>1.028454</v>
      </c>
      <c r="B4035">
        <v>3.8090660000000001</v>
      </c>
      <c r="C4035">
        <f>LOG10(1.028454)</f>
        <v>1.2184871633142393E-2</v>
      </c>
      <c r="D4035">
        <f>LOG10(3.809066)</f>
        <v>0.58081849778236327</v>
      </c>
    </row>
    <row r="4036" spans="1:4">
      <c r="A4036">
        <v>1.027908</v>
      </c>
      <c r="B4036">
        <v>4.017639</v>
      </c>
      <c r="C4036">
        <f>LOG10(1.027908)</f>
        <v>1.19542460986387E-2</v>
      </c>
      <c r="D4036">
        <f>LOG10(4.017639)</f>
        <v>0.60397091116996882</v>
      </c>
    </row>
    <row r="4037" spans="1:4">
      <c r="A4037">
        <v>1.022416</v>
      </c>
      <c r="B4037">
        <v>3.6446519999999998</v>
      </c>
      <c r="C4037">
        <f>LOG10(1.022416)</f>
        <v>9.6276372319102788E-3</v>
      </c>
      <c r="D4037">
        <f>LOG10(3.644652)</f>
        <v>0.5616560671684484</v>
      </c>
    </row>
    <row r="4038" spans="1:4">
      <c r="A4038">
        <v>1.0207120000000001</v>
      </c>
      <c r="B4038">
        <v>3.7327970000000001</v>
      </c>
      <c r="C4038">
        <f>LOG10(1.020712)</f>
        <v>8.9032205837622259E-3</v>
      </c>
      <c r="D4038">
        <f>LOG10(3.732797)</f>
        <v>0.57203437241303756</v>
      </c>
    </row>
    <row r="4039" spans="1:4">
      <c r="A4039">
        <v>1.0152030000000001</v>
      </c>
      <c r="B4039">
        <v>3.7796340000000002</v>
      </c>
      <c r="C4039">
        <f>LOG10(1.015203)</f>
        <v>6.5528924608807132E-3</v>
      </c>
      <c r="D4039">
        <f>LOG10(3.779634)</f>
        <v>0.57744974706575503</v>
      </c>
    </row>
    <row r="4040" spans="1:4">
      <c r="A4040">
        <v>1.0202469999999999</v>
      </c>
      <c r="B4040">
        <v>3.7869190000000001</v>
      </c>
      <c r="C4040">
        <f>LOG10(1.020247)</f>
        <v>8.7053264197154943E-3</v>
      </c>
      <c r="D4040">
        <f>LOG10(3.786919)</f>
        <v>0.5782860159132085</v>
      </c>
    </row>
    <row r="4041" spans="1:4">
      <c r="A4041">
        <v>1.021147</v>
      </c>
      <c r="B4041">
        <v>3.448556</v>
      </c>
      <c r="C4041">
        <f>LOG10(1.021147)</f>
        <v>9.0882657827558999E-3</v>
      </c>
      <c r="D4041">
        <f>LOG10(3.448556)</f>
        <v>0.53763728275167311</v>
      </c>
    </row>
    <row r="4042" spans="1:4">
      <c r="A4042">
        <v>1.0246489999999999</v>
      </c>
      <c r="B4042">
        <v>3.4774240000000001</v>
      </c>
      <c r="C4042">
        <f>LOG10(1.024649)</f>
        <v>1.0575120543617922E-2</v>
      </c>
      <c r="D4042">
        <f>LOG10(3.477424)</f>
        <v>0.54125764714969049</v>
      </c>
    </row>
    <row r="4043" spans="1:4">
      <c r="A4043">
        <v>1.019603</v>
      </c>
      <c r="B4043">
        <v>3.7082809999999999</v>
      </c>
      <c r="C4043">
        <f>LOG10(1.019603)</f>
        <v>8.4311046331743689E-3</v>
      </c>
      <c r="D4043">
        <f>LOG10(3.708281)</f>
        <v>0.5691726359701802</v>
      </c>
    </row>
    <row r="4044" spans="1:4">
      <c r="A4044">
        <v>1.0225489999999999</v>
      </c>
      <c r="B4044">
        <v>3.7018689999999999</v>
      </c>
      <c r="C4044">
        <f>LOG10(1.022549)</f>
        <v>9.6841283368187224E-3</v>
      </c>
      <c r="D4044">
        <f>LOG10(3.701869)</f>
        <v>0.56842104607983468</v>
      </c>
    </row>
    <row r="4045" spans="1:4">
      <c r="A4045">
        <v>1.016926</v>
      </c>
      <c r="B4045">
        <v>3.888512</v>
      </c>
      <c r="C4045">
        <f>LOG10(1.016926)</f>
        <v>7.2893511912410693E-3</v>
      </c>
      <c r="D4045">
        <f>LOG10(3.888512)</f>
        <v>0.58978344353178658</v>
      </c>
    </row>
    <row r="4046" spans="1:4">
      <c r="A4046">
        <v>1.0202450000000001</v>
      </c>
      <c r="B4046">
        <v>3.8490760000000002</v>
      </c>
      <c r="C4046">
        <f>LOG10(1.020245)</f>
        <v>8.7044750672340982E-3</v>
      </c>
      <c r="D4046">
        <f>LOG10(3.849076)</f>
        <v>0.58535648632316128</v>
      </c>
    </row>
    <row r="4047" spans="1:4">
      <c r="A4047">
        <v>1.0181739999999999</v>
      </c>
      <c r="B4047">
        <v>3.8491369999999998</v>
      </c>
      <c r="C4047">
        <f>LOG10(1.018174)</f>
        <v>7.8220027379530387E-3</v>
      </c>
      <c r="D4047">
        <f>LOG10(3.849137)</f>
        <v>0.58536336894992058</v>
      </c>
    </row>
    <row r="4048" spans="1:4">
      <c r="A4048">
        <v>1.0181979999999999</v>
      </c>
      <c r="B4048">
        <v>3.8795579999999998</v>
      </c>
      <c r="C4048">
        <f>LOG10(1.018198)</f>
        <v>7.832239637268262E-3</v>
      </c>
      <c r="D4048">
        <f>LOG10(3.879558)</f>
        <v>0.58878224902319409</v>
      </c>
    </row>
    <row r="4049" spans="1:4">
      <c r="A4049">
        <v>1.014465</v>
      </c>
      <c r="B4049">
        <v>3.8869639999999999</v>
      </c>
      <c r="C4049">
        <f>LOG10(1.014465)</f>
        <v>6.2370680582991573E-3</v>
      </c>
      <c r="D4049">
        <f>LOG10(3.886964)</f>
        <v>0.58961051833290001</v>
      </c>
    </row>
    <row r="4050" spans="1:4">
      <c r="A4050">
        <v>1.0201039999999999</v>
      </c>
      <c r="B4050">
        <v>4.2717330000000002</v>
      </c>
      <c r="C4050">
        <f>LOG10(1.020104)</f>
        <v>8.6444505106058837E-3</v>
      </c>
      <c r="D4050">
        <f>LOG10(4.271733)</f>
        <v>0.63060409976711429</v>
      </c>
    </row>
    <row r="4051" spans="1:4">
      <c r="A4051">
        <v>1.0303340000000001</v>
      </c>
      <c r="B4051">
        <v>4.5089439999999996</v>
      </c>
      <c r="C4051">
        <f>LOG10(1.030334)</f>
        <v>1.2978031349363268E-2</v>
      </c>
      <c r="D4051">
        <f>LOG10(4.508944)</f>
        <v>0.65407484150705553</v>
      </c>
    </row>
    <row r="4052" spans="1:4">
      <c r="A4052">
        <v>1.0167550000000001</v>
      </c>
      <c r="B4052">
        <v>4.642315</v>
      </c>
      <c r="C4052">
        <f>LOG10(1.016755)</f>
        <v>7.2163167708177668E-3</v>
      </c>
      <c r="D4052">
        <f>LOG10(4.642315)</f>
        <v>0.66673460577099364</v>
      </c>
    </row>
    <row r="4053" spans="1:4">
      <c r="A4053">
        <v>1.0183990000000001</v>
      </c>
      <c r="B4053">
        <v>4.6799249999999999</v>
      </c>
      <c r="C4053">
        <f>LOG10(1.018399)</f>
        <v>7.9179641975480157E-3</v>
      </c>
      <c r="D4053">
        <f>LOG10(4.679925)</f>
        <v>0.67023889317088903</v>
      </c>
    </row>
    <row r="4054" spans="1:4">
      <c r="A4054">
        <v>1.017992</v>
      </c>
      <c r="B4054">
        <v>4.4235220000000002</v>
      </c>
      <c r="C4054">
        <f>LOG10(1.017992)</f>
        <v>7.7443650640926067E-3</v>
      </c>
      <c r="D4054">
        <f>LOG10(4.423522)</f>
        <v>0.64576819153849385</v>
      </c>
    </row>
    <row r="4055" spans="1:4">
      <c r="A4055">
        <v>1.020046</v>
      </c>
      <c r="B4055">
        <v>4.3459630000000002</v>
      </c>
      <c r="C4055">
        <f>LOG10(1.020046)</f>
        <v>8.6197571498656169E-3</v>
      </c>
      <c r="D4055">
        <f>LOG10(4.345963)</f>
        <v>0.63808602456981811</v>
      </c>
    </row>
    <row r="4056" spans="1:4">
      <c r="A4056">
        <v>1.025738</v>
      </c>
      <c r="B4056">
        <v>4.4425090000000003</v>
      </c>
      <c r="C4056">
        <f>LOG10(1.025738)</f>
        <v>1.1036444903617774E-2</v>
      </c>
      <c r="D4056">
        <f>LOG10(4.442509)</f>
        <v>0.64762831630770001</v>
      </c>
    </row>
    <row r="4057" spans="1:4">
      <c r="A4057">
        <v>1.0290010000000001</v>
      </c>
      <c r="B4057">
        <v>4.1952550000000004</v>
      </c>
      <c r="C4057">
        <f>LOG10(1.029001)</f>
        <v>1.2415796817117963E-2</v>
      </c>
      <c r="D4057">
        <f>LOG10(4.195255)</f>
        <v>0.62275836366939374</v>
      </c>
    </row>
    <row r="4058" spans="1:4">
      <c r="A4058">
        <v>1.0375829999999999</v>
      </c>
      <c r="B4058">
        <v>4.2166249999999996</v>
      </c>
      <c r="C4058">
        <f>LOG10(1.037583)</f>
        <v>1.6022847553014318E-2</v>
      </c>
      <c r="D4058">
        <f>LOG10(4.216625)</f>
        <v>0.62496497932352169</v>
      </c>
    </row>
    <row r="4059" spans="1:4">
      <c r="A4059">
        <v>1.024821</v>
      </c>
      <c r="B4059">
        <v>4.4253410000000004</v>
      </c>
      <c r="C4059">
        <f>LOG10(1.024821)</f>
        <v>1.0648016122536141E-2</v>
      </c>
      <c r="D4059">
        <f>LOG10(4.425341)</f>
        <v>0.64594674140952457</v>
      </c>
    </row>
    <row r="4060" spans="1:4">
      <c r="A4060">
        <v>1.0524230000000001</v>
      </c>
      <c r="B4060">
        <v>4.5712469999999996</v>
      </c>
      <c r="C4060">
        <f>LOG10(1.052423)</f>
        <v>2.2190330732492838E-2</v>
      </c>
      <c r="D4060">
        <f>LOG10(4.571247)</f>
        <v>0.66003468832912005</v>
      </c>
    </row>
    <row r="4061" spans="1:4">
      <c r="A4061">
        <v>1.0360279999999999</v>
      </c>
      <c r="B4061">
        <v>4.4861319999999996</v>
      </c>
      <c r="C4061">
        <f>LOG10(1.036028)</f>
        <v>1.5371492939299727E-2</v>
      </c>
      <c r="D4061">
        <f>LOG10(4.486132)</f>
        <v>0.65187204812082533</v>
      </c>
    </row>
    <row r="4062" spans="1:4">
      <c r="A4062">
        <v>1.027353</v>
      </c>
      <c r="B4062">
        <v>4.4909090000000003</v>
      </c>
      <c r="C4062">
        <f>LOG10(1.027353)</f>
        <v>1.1719693461951551E-2</v>
      </c>
      <c r="D4062">
        <f>LOG10(4.490909)</f>
        <v>0.65233425497403552</v>
      </c>
    </row>
    <row r="4063" spans="1:4">
      <c r="A4063">
        <v>1.023687</v>
      </c>
      <c r="B4063">
        <v>4.4248120000000002</v>
      </c>
      <c r="C4063">
        <f>LOG10(1.023687)</f>
        <v>1.0167188131837441E-2</v>
      </c>
      <c r="D4063">
        <f>LOG10(4.424812)</f>
        <v>0.64589482326049352</v>
      </c>
    </row>
    <row r="4064" spans="1:4">
      <c r="A4064">
        <v>1.0276860000000001</v>
      </c>
      <c r="B4064">
        <v>4.1701199999999998</v>
      </c>
      <c r="C4064">
        <f>LOG10(1.027686)</f>
        <v>1.186044024460591E-2</v>
      </c>
      <c r="D4064">
        <f>LOG10(4.17012)</f>
        <v>0.62014855247687062</v>
      </c>
    </row>
    <row r="4065" spans="1:4">
      <c r="A4065">
        <v>1.0200210000000001</v>
      </c>
      <c r="B4065">
        <v>3.9262929999999998</v>
      </c>
      <c r="C4065">
        <f>LOG10(1.020021)</f>
        <v>8.6091130268558334E-3</v>
      </c>
      <c r="D4065">
        <f>LOG10(3.926293)</f>
        <v>0.59398270574160372</v>
      </c>
    </row>
    <row r="4066" spans="1:4">
      <c r="A4066">
        <v>1.0144200000000001</v>
      </c>
      <c r="B4066">
        <v>4.1048520000000002</v>
      </c>
      <c r="C4066">
        <f>LOG10(1.01442)</f>
        <v>6.2178030416138487E-3</v>
      </c>
      <c r="D4066">
        <f>LOG10(4.104852)</f>
        <v>0.61329750329662103</v>
      </c>
    </row>
    <row r="4067" spans="1:4">
      <c r="A4067">
        <v>1.0271870000000001</v>
      </c>
      <c r="B4067">
        <v>3.5818099999999999</v>
      </c>
      <c r="C4067">
        <f>LOG10(1.027187)</f>
        <v>1.1649514361858326E-2</v>
      </c>
      <c r="D4067">
        <f>LOG10(3.58181)</f>
        <v>0.55410254462298325</v>
      </c>
    </row>
    <row r="4068" spans="1:4">
      <c r="A4068">
        <v>1.0208839999999999</v>
      </c>
      <c r="B4068">
        <v>3.5456059999999998</v>
      </c>
      <c r="C4068">
        <f>LOG10(1.020884)</f>
        <v>8.9763973053702418E-3</v>
      </c>
      <c r="D4068">
        <f>LOG10(3.545606)</f>
        <v>0.54969047364143653</v>
      </c>
    </row>
    <row r="4069" spans="1:4">
      <c r="A4069">
        <v>1.024273</v>
      </c>
      <c r="B4069">
        <v>3.5630799999999998</v>
      </c>
      <c r="C4069">
        <f>LOG10(1.024273)</f>
        <v>1.041572479597243E-2</v>
      </c>
      <c r="D4069">
        <f>LOG10(3.56308)</f>
        <v>0.55182557345079375</v>
      </c>
    </row>
    <row r="4070" spans="1:4">
      <c r="A4070">
        <v>1.019892</v>
      </c>
      <c r="B4070">
        <v>3.6498659999999998</v>
      </c>
      <c r="C4070">
        <f>LOG10(1.019892)</f>
        <v>8.5541852056789294E-3</v>
      </c>
      <c r="D4070">
        <f>LOG10(3.649866)</f>
        <v>0.56227692020199616</v>
      </c>
    </row>
    <row r="4071" spans="1:4">
      <c r="A4071">
        <v>1.022913</v>
      </c>
      <c r="B4071">
        <v>3.7077710000000002</v>
      </c>
      <c r="C4071">
        <f>LOG10(1.022913)</f>
        <v>9.8386980067334123E-3</v>
      </c>
      <c r="D4071">
        <f>LOG10(3.707771)</f>
        <v>0.56911290332911457</v>
      </c>
    </row>
    <row r="4072" spans="1:4">
      <c r="A4072">
        <v>1.025984</v>
      </c>
      <c r="B4072">
        <v>3.6986490000000001</v>
      </c>
      <c r="C4072">
        <f>LOG10(1.025984)</f>
        <v>1.1140588099489476E-2</v>
      </c>
      <c r="D4072">
        <f>LOG10(3.698649)</f>
        <v>0.56804311893474113</v>
      </c>
    </row>
    <row r="4073" spans="1:4">
      <c r="A4073">
        <v>1.035847</v>
      </c>
      <c r="B4073">
        <v>3.6612200000000001</v>
      </c>
      <c r="C4073">
        <f>LOG10(1.035847)</f>
        <v>1.5295612588000102E-2</v>
      </c>
      <c r="D4073">
        <f>LOG10(3.66122)</f>
        <v>0.56362582609960088</v>
      </c>
    </row>
    <row r="4074" spans="1:4">
      <c r="A4074">
        <v>1.016589</v>
      </c>
      <c r="B4074">
        <v>3.6205500000000002</v>
      </c>
      <c r="C4074">
        <f>LOG10(1.016589)</f>
        <v>7.1454061092119077E-3</v>
      </c>
      <c r="D4074">
        <f>LOG10(3.62055)</f>
        <v>0.55877454948932404</v>
      </c>
    </row>
    <row r="4075" spans="1:4">
      <c r="A4075">
        <v>1.012777</v>
      </c>
      <c r="B4075">
        <v>3.68133</v>
      </c>
      <c r="C4075">
        <f>LOG10(1.012777)</f>
        <v>5.5138300286268413E-3</v>
      </c>
      <c r="D4075">
        <f>LOG10(3.68133)</f>
        <v>0.56600475000718053</v>
      </c>
    </row>
    <row r="4076" spans="1:4">
      <c r="A4076">
        <v>1.0154300000000001</v>
      </c>
      <c r="B4076">
        <v>3.7565189999999999</v>
      </c>
      <c r="C4076">
        <f>LOG10(1.01543)</f>
        <v>6.6499901125023344E-3</v>
      </c>
      <c r="D4076">
        <f>LOG10(3.756519)</f>
        <v>0.57478558978812522</v>
      </c>
    </row>
    <row r="4077" spans="1:4">
      <c r="A4077">
        <v>1.0222020000000001</v>
      </c>
      <c r="B4077">
        <v>3.8174250000000001</v>
      </c>
      <c r="C4077">
        <f>LOG10(1.022202)</f>
        <v>9.5367263434542032E-3</v>
      </c>
      <c r="D4077">
        <f>LOG10(3.817425)</f>
        <v>0.58177051333655083</v>
      </c>
    </row>
    <row r="4078" spans="1:4">
      <c r="A4078">
        <v>1.019239</v>
      </c>
      <c r="B4078">
        <v>3.7238319999999998</v>
      </c>
      <c r="C4078">
        <f>LOG10(1.019239)</f>
        <v>8.2760330846263462E-3</v>
      </c>
      <c r="D4078">
        <f>LOG10(3.723832)</f>
        <v>0.57099007963509529</v>
      </c>
    </row>
    <row r="4079" spans="1:4">
      <c r="A4079">
        <v>1.0239100000000001</v>
      </c>
      <c r="B4079">
        <v>4.6650410000000004</v>
      </c>
      <c r="C4079">
        <f>LOG10(1.02391)</f>
        <v>1.0261784548854427E-2</v>
      </c>
      <c r="D4079">
        <f>LOG10(4.665041)</f>
        <v>0.66885546501617599</v>
      </c>
    </row>
    <row r="4080" spans="1:4">
      <c r="A4080">
        <v>1.0229189999999999</v>
      </c>
      <c r="B4080">
        <v>4.8354010000000001</v>
      </c>
      <c r="C4080">
        <f>LOG10(1.022919)</f>
        <v>9.8412453976153679E-3</v>
      </c>
      <c r="D4080">
        <f>LOG10(4.835401)</f>
        <v>0.6844324959714142</v>
      </c>
    </row>
    <row r="4081" spans="1:4">
      <c r="A4081">
        <v>1.0287790000000001</v>
      </c>
      <c r="B4081">
        <v>4.0818729999999999</v>
      </c>
      <c r="C4081">
        <f>LOG10(1.028779)</f>
        <v>1.2322090613970355E-2</v>
      </c>
      <c r="D4081">
        <f>LOG10(4.081873)</f>
        <v>0.6108594883131182</v>
      </c>
    </row>
    <row r="4082" spans="1:4">
      <c r="A4082">
        <v>1.0113270000000001</v>
      </c>
      <c r="B4082">
        <v>3.9528729999999999</v>
      </c>
      <c r="C4082">
        <f>LOG10(1.011327)</f>
        <v>4.8916020141760172E-3</v>
      </c>
      <c r="D4082">
        <f>LOG10(3.952873)</f>
        <v>0.59691286132368826</v>
      </c>
    </row>
    <row r="4083" spans="1:4">
      <c r="A4083">
        <v>1.0148200000000001</v>
      </c>
      <c r="B4083">
        <v>3.9269690000000002</v>
      </c>
      <c r="C4083">
        <f>LOG10(1.01482)</f>
        <v>6.389017678631894E-3</v>
      </c>
      <c r="D4083">
        <f>LOG10(3.926969)</f>
        <v>0.59405747290727118</v>
      </c>
    </row>
    <row r="4084" spans="1:4">
      <c r="A4084">
        <v>1.0108330000000001</v>
      </c>
      <c r="B4084">
        <v>4.0309369999999998</v>
      </c>
      <c r="C4084">
        <f>LOG10(1.010833)</f>
        <v>4.6794116055752233E-3</v>
      </c>
      <c r="D4084">
        <f>LOG10(4.030937)</f>
        <v>0.60540601056531373</v>
      </c>
    </row>
    <row r="4085" spans="1:4">
      <c r="A4085">
        <v>1.009463</v>
      </c>
      <c r="B4085">
        <v>3.6823049999999999</v>
      </c>
      <c r="C4085">
        <f>LOG10(1.009463)</f>
        <v>4.0904053100546634E-3</v>
      </c>
      <c r="D4085">
        <f>LOG10(3.682305)</f>
        <v>0.56611975764195066</v>
      </c>
    </row>
    <row r="4086" spans="1:4">
      <c r="A4086">
        <v>1.00929</v>
      </c>
      <c r="B4086">
        <v>3.7668140000000001</v>
      </c>
      <c r="C4086">
        <f>LOG10(1.00929)</f>
        <v>4.0159703043326405E-3</v>
      </c>
      <c r="D4086">
        <f>LOG10(3.766814)</f>
        <v>0.5759741758794098</v>
      </c>
    </row>
    <row r="4087" spans="1:4">
      <c r="A4087">
        <v>1.0133589999999999</v>
      </c>
      <c r="B4087">
        <v>3.807696</v>
      </c>
      <c r="C4087">
        <f>LOG10(1.013359)</f>
        <v>5.7633289718561145E-3</v>
      </c>
      <c r="D4087">
        <f>LOG10(3.807696)</f>
        <v>0.58066226776057084</v>
      </c>
    </row>
    <row r="4088" spans="1:4">
      <c r="A4088">
        <v>1.0093859999999999</v>
      </c>
      <c r="B4088">
        <v>3.8062800000000001</v>
      </c>
      <c r="C4088">
        <f>LOG10(1.009386)</f>
        <v>4.057276854065324E-3</v>
      </c>
      <c r="D4088">
        <f>LOG10(3.80628)</f>
        <v>0.58050073297415572</v>
      </c>
    </row>
    <row r="4089" spans="1:4">
      <c r="A4089">
        <v>1.0137640000000001</v>
      </c>
      <c r="B4089">
        <v>3.504292</v>
      </c>
      <c r="C4089">
        <f>LOG10(1.013764)</f>
        <v>5.9368648327892586E-3</v>
      </c>
      <c r="D4089">
        <f>LOG10(3.504292)</f>
        <v>0.54460028719498521</v>
      </c>
    </row>
    <row r="4090" spans="1:4">
      <c r="A4090">
        <v>1.016043</v>
      </c>
      <c r="B4090">
        <v>3.414361</v>
      </c>
      <c r="C4090">
        <f>LOG10(1.016043)</f>
        <v>6.912088132497567E-3</v>
      </c>
      <c r="D4090">
        <f>LOG10(3.414361)</f>
        <v>0.53330943711248546</v>
      </c>
    </row>
    <row r="4091" spans="1:4">
      <c r="A4091">
        <v>1.0112969999999999</v>
      </c>
      <c r="B4091">
        <v>3.7246809999999999</v>
      </c>
      <c r="C4091">
        <f>LOG10(1.011297)</f>
        <v>4.8787189133543737E-3</v>
      </c>
      <c r="D4091">
        <f>LOG10(3.724681)</f>
        <v>0.57108908356157906</v>
      </c>
    </row>
    <row r="4092" spans="1:4">
      <c r="A4092">
        <v>1.017007</v>
      </c>
      <c r="B4092">
        <v>3.7004589999999999</v>
      </c>
      <c r="C4092">
        <f>LOG10(1.017007)</f>
        <v>7.3239421566787307E-3</v>
      </c>
      <c r="D4092">
        <f>LOG10(3.700459)</f>
        <v>0.56825559671663717</v>
      </c>
    </row>
    <row r="4093" spans="1:4">
      <c r="A4093">
        <v>1.010734</v>
      </c>
      <c r="B4093">
        <v>3.9045939999999999</v>
      </c>
      <c r="C4093">
        <f>LOG10(1.010734)</f>
        <v>4.6368751437682945E-3</v>
      </c>
      <c r="D4093">
        <f>LOG10(3.904594)</f>
        <v>0.59157588258555882</v>
      </c>
    </row>
    <row r="4094" spans="1:4">
      <c r="A4094">
        <v>1.0138309999999999</v>
      </c>
      <c r="B4094">
        <v>3.8874420000000001</v>
      </c>
      <c r="C4094">
        <f>LOG10(1.013831)</f>
        <v>5.9655665511285016E-3</v>
      </c>
      <c r="D4094">
        <f>LOG10(3.887442)</f>
        <v>0.58966392248046107</v>
      </c>
    </row>
    <row r="4095" spans="1:4">
      <c r="A4095">
        <v>1.0117309999999999</v>
      </c>
      <c r="B4095">
        <v>6.1176349999999999</v>
      </c>
      <c r="C4095">
        <f>LOG10(1.011731)</f>
        <v>5.065057222104985E-3</v>
      </c>
      <c r="D4095">
        <f>LOG10(6.117635)</f>
        <v>0.78658356185842437</v>
      </c>
    </row>
    <row r="4096" spans="1:4">
      <c r="A4096">
        <v>1.0117989999999999</v>
      </c>
      <c r="B4096">
        <v>4.2137450000000003</v>
      </c>
      <c r="C4096">
        <f>LOG10(1.011799)</f>
        <v>5.094245842763457E-3</v>
      </c>
      <c r="D4096">
        <f>LOG10(4.213745)</f>
        <v>0.62466825019857497</v>
      </c>
    </row>
    <row r="4097" spans="1:4">
      <c r="A4097">
        <v>1.0112399999999999</v>
      </c>
      <c r="B4097">
        <v>3.776084</v>
      </c>
      <c r="C4097">
        <f>LOG10(1.01124)</f>
        <v>4.8542399688653202E-3</v>
      </c>
      <c r="D4097">
        <f>LOG10(3.776084)</f>
        <v>0.57704164673056391</v>
      </c>
    </row>
    <row r="4098" spans="1:4">
      <c r="A4098">
        <v>1.010664</v>
      </c>
      <c r="B4098">
        <v>4.1685020000000002</v>
      </c>
      <c r="C4098">
        <f>LOG10(1.010664)</f>
        <v>4.6067963431111391E-3</v>
      </c>
      <c r="D4098">
        <f>LOG10(4.168502)</f>
        <v>0.61998001420267179</v>
      </c>
    </row>
    <row r="4099" spans="1:4">
      <c r="A4099">
        <v>1.024068</v>
      </c>
      <c r="B4099">
        <v>4.3897589999999997</v>
      </c>
      <c r="C4099">
        <f>LOG10(1.024068)</f>
        <v>1.0328795550219481E-2</v>
      </c>
      <c r="D4099">
        <f>LOG10(4.389759)</f>
        <v>0.64244067790882609</v>
      </c>
    </row>
    <row r="4100" spans="1:4">
      <c r="A4100">
        <v>1.0149220000000001</v>
      </c>
      <c r="B4100">
        <v>4.4630299999999998</v>
      </c>
      <c r="C4100">
        <f>LOG10(1.014922)</f>
        <v>6.4326666125273753E-3</v>
      </c>
      <c r="D4100">
        <f>LOG10(4.46303)</f>
        <v>0.64962980613039445</v>
      </c>
    </row>
    <row r="4101" spans="1:4">
      <c r="A4101">
        <v>1.017641</v>
      </c>
      <c r="B4101">
        <v>4.618347</v>
      </c>
      <c r="C4101">
        <f>LOG10(1.017641)</f>
        <v>7.5945960589145984E-3</v>
      </c>
      <c r="D4101">
        <f>LOG10(4.618347)</f>
        <v>0.66448656056981958</v>
      </c>
    </row>
    <row r="4102" spans="1:4">
      <c r="A4102">
        <v>1.018702</v>
      </c>
      <c r="B4102">
        <v>4.3612719999999996</v>
      </c>
      <c r="C4102">
        <f>LOG10(1.018702)</f>
        <v>8.047158802024763E-3</v>
      </c>
      <c r="D4102">
        <f>LOG10(4.361272)</f>
        <v>0.63961317321672984</v>
      </c>
    </row>
    <row r="4103" spans="1:4">
      <c r="A4103">
        <v>1.0160720000000001</v>
      </c>
      <c r="B4103">
        <v>4.2380909999999998</v>
      </c>
      <c r="C4103">
        <f>LOG10(1.016072)</f>
        <v>6.9244836317444835E-3</v>
      </c>
      <c r="D4103">
        <f>LOG10(4.238091)</f>
        <v>0.6271702776162944</v>
      </c>
    </row>
    <row r="4104" spans="1:4">
      <c r="A4104">
        <v>1.0208950000000001</v>
      </c>
      <c r="B4104">
        <v>4.3798300000000001</v>
      </c>
      <c r="C4104">
        <f>LOG10(1.020895)</f>
        <v>8.9810767925244065E-3</v>
      </c>
      <c r="D4104">
        <f>LOG10(4.37983)</f>
        <v>0.6414572539984521</v>
      </c>
    </row>
    <row r="4105" spans="1:4">
      <c r="A4105">
        <v>1.0244180000000001</v>
      </c>
      <c r="B4105">
        <v>4.1706529999999997</v>
      </c>
      <c r="C4105">
        <f>LOG10(1.024418)</f>
        <v>1.047720083113942E-2</v>
      </c>
      <c r="D4105">
        <f>LOG10(4.170653)</f>
        <v>0.62020405787407296</v>
      </c>
    </row>
    <row r="4106" spans="1:4">
      <c r="A4106">
        <v>1.020062</v>
      </c>
      <c r="B4106">
        <v>4.1023339999999999</v>
      </c>
      <c r="C4106">
        <f>LOG10(1.020062)</f>
        <v>8.6265692516863061E-3</v>
      </c>
      <c r="D4106">
        <f>LOG10(4.102334)</f>
        <v>0.61303101645454283</v>
      </c>
    </row>
    <row r="4107" spans="1:4">
      <c r="A4107">
        <v>1.0237179999999999</v>
      </c>
      <c r="B4107">
        <v>4.3506359999999997</v>
      </c>
      <c r="C4107">
        <f>LOG10(1.023718)</f>
        <v>1.0180339539536438E-2</v>
      </c>
      <c r="D4107">
        <f>LOG10(4.350636)</f>
        <v>0.63855274916163973</v>
      </c>
    </row>
    <row r="4108" spans="1:4">
      <c r="A4108">
        <v>1.037658</v>
      </c>
      <c r="B4108">
        <v>4.5026070000000002</v>
      </c>
      <c r="C4108">
        <f>LOG10(1.037658)</f>
        <v>1.6054238688942093E-2</v>
      </c>
      <c r="D4108">
        <f>LOG10(4.502607)</f>
        <v>0.65346404219282761</v>
      </c>
    </row>
    <row r="4109" spans="1:4">
      <c r="A4109">
        <v>1.3414489999999999</v>
      </c>
      <c r="B4109">
        <v>4.4665889999999999</v>
      </c>
      <c r="C4109">
        <f>LOG10(1.341449)</f>
        <v>0.12757416605782065</v>
      </c>
      <c r="D4109">
        <f>LOG10(4.466589)</f>
        <v>0.64997599204111178</v>
      </c>
    </row>
    <row r="4110" spans="1:4">
      <c r="A4110">
        <v>1.0276719999999999</v>
      </c>
      <c r="B4110">
        <v>4.3801930000000002</v>
      </c>
      <c r="C4110">
        <f>LOG10(1.027672)</f>
        <v>1.1854523880890375E-2</v>
      </c>
      <c r="D4110">
        <f>LOG10(4.380193)</f>
        <v>0.64149324680281372</v>
      </c>
    </row>
    <row r="4111" spans="1:4">
      <c r="A4111">
        <v>1.021752</v>
      </c>
      <c r="B4111">
        <v>4.405532</v>
      </c>
      <c r="C4111">
        <f>LOG10(1.021752)</f>
        <v>9.345496482103019E-3</v>
      </c>
      <c r="D4111">
        <f>LOG10(4.405532)</f>
        <v>0.64399836012914502</v>
      </c>
    </row>
    <row r="4112" spans="1:4">
      <c r="A4112">
        <v>1.028934</v>
      </c>
      <c r="B4112">
        <v>4.1406939999999999</v>
      </c>
      <c r="C4112">
        <f>LOG10(1.028934)</f>
        <v>1.2387518246319744E-2</v>
      </c>
      <c r="D4112">
        <f>LOG10(4.140694)</f>
        <v>0.61707313704142119</v>
      </c>
    </row>
    <row r="4113" spans="1:4">
      <c r="A4113">
        <v>1.0205519999999999</v>
      </c>
      <c r="B4113">
        <v>3.8673899999999999</v>
      </c>
      <c r="C4113">
        <f>LOG10(1.020552)</f>
        <v>8.8351381434243811E-3</v>
      </c>
      <c r="D4113">
        <f>LOG10(3.86739)</f>
        <v>0.58741796992863926</v>
      </c>
    </row>
    <row r="4114" spans="1:4">
      <c r="A4114">
        <v>1.0376369999999999</v>
      </c>
      <c r="B4114">
        <v>4.0904480000000003</v>
      </c>
      <c r="C4114">
        <f>LOG10(1.037637)</f>
        <v>1.6045449399592578E-2</v>
      </c>
      <c r="D4114">
        <f>LOG10(4.090448)</f>
        <v>0.6117708760447127</v>
      </c>
    </row>
    <row r="4115" spans="1:4">
      <c r="A4115">
        <v>1.0298240000000001</v>
      </c>
      <c r="B4115">
        <v>3.5278369999999999</v>
      </c>
      <c r="C4115">
        <f>LOG10(1.029824)</f>
        <v>1.2763008821678322E-2</v>
      </c>
      <c r="D4115">
        <f>LOG10(3.527837)</f>
        <v>0.54750851080334395</v>
      </c>
    </row>
    <row r="4116" spans="1:4">
      <c r="A4116">
        <v>1.0200689999999999</v>
      </c>
      <c r="B4116">
        <v>3.476782</v>
      </c>
      <c r="C4116">
        <f>LOG10(1.020069)</f>
        <v>8.6295495126335452E-3</v>
      </c>
      <c r="D4116">
        <f>LOG10(3.476782)</f>
        <v>0.5411774605523495</v>
      </c>
    </row>
    <row r="4117" spans="1:4">
      <c r="A4117">
        <v>1.015636</v>
      </c>
      <c r="B4117">
        <v>3.5435050000000001</v>
      </c>
      <c r="C4117">
        <f>LOG10(1.015636)</f>
        <v>6.7380863768076909E-3</v>
      </c>
      <c r="D4117">
        <f>LOG10(3.543505)</f>
        <v>0.54943304990150821</v>
      </c>
    </row>
    <row r="4118" spans="1:4">
      <c r="A4118">
        <v>1.015466</v>
      </c>
      <c r="B4118">
        <v>3.5860850000000002</v>
      </c>
      <c r="C4118">
        <f>LOG10(1.015466)</f>
        <v>6.6653868648226125E-3</v>
      </c>
      <c r="D4118">
        <f>LOG10(3.586085)</f>
        <v>0.55462057931246211</v>
      </c>
    </row>
    <row r="4119" spans="1:4">
      <c r="A4119">
        <v>1.0151570000000001</v>
      </c>
      <c r="B4119">
        <v>3.722467</v>
      </c>
      <c r="C4119">
        <f>LOG10(1.015157)</f>
        <v>6.5332136392225208E-3</v>
      </c>
      <c r="D4119">
        <f>LOG10(3.722467)</f>
        <v>0.57083085638219133</v>
      </c>
    </row>
    <row r="4120" spans="1:4">
      <c r="A4120">
        <v>1.009684</v>
      </c>
      <c r="B4120">
        <v>3.6453859999999998</v>
      </c>
      <c r="C4120">
        <f>LOG10(1.009684)</f>
        <v>4.1854742484567706E-3</v>
      </c>
      <c r="D4120">
        <f>LOG10(3.645386)</f>
        <v>0.56174352134928918</v>
      </c>
    </row>
    <row r="4121" spans="1:4">
      <c r="A4121">
        <v>1.0236479999999999</v>
      </c>
      <c r="B4121">
        <v>3.6931479999999999</v>
      </c>
      <c r="C4121">
        <f>LOG10(1.023648)</f>
        <v>1.0150642246775808E-2</v>
      </c>
      <c r="D4121">
        <f>LOG10(3.693148)</f>
        <v>0.5673967120093345</v>
      </c>
    </row>
    <row r="4122" spans="1:4">
      <c r="A4122">
        <v>1.011501</v>
      </c>
      <c r="B4122">
        <v>3.600886</v>
      </c>
      <c r="C4122">
        <f>LOG10(1.011501)</f>
        <v>4.9663164634890563E-3</v>
      </c>
      <c r="D4122">
        <f>LOG10(3.600886)</f>
        <v>0.55640937231417975</v>
      </c>
    </row>
    <row r="4123" spans="1:4">
      <c r="A4123">
        <v>1.014089</v>
      </c>
      <c r="B4123">
        <v>3.693022</v>
      </c>
      <c r="C4123">
        <f>LOG10(1.014089)</f>
        <v>6.0760718737601759E-3</v>
      </c>
      <c r="D4123">
        <f>LOG10(3.693022)</f>
        <v>0.56738189482946311</v>
      </c>
    </row>
    <row r="4124" spans="1:4">
      <c r="A4124">
        <v>1.009072</v>
      </c>
      <c r="B4124">
        <v>3.7504780000000002</v>
      </c>
      <c r="C4124">
        <f>LOG10(1.009072)</f>
        <v>3.9221554213502126E-3</v>
      </c>
      <c r="D4124">
        <f>LOG10(3.750478)</f>
        <v>0.57408662226982432</v>
      </c>
    </row>
    <row r="4125" spans="1:4">
      <c r="A4125">
        <v>1.010283</v>
      </c>
      <c r="B4125">
        <v>3.8560449999999999</v>
      </c>
      <c r="C4125">
        <f>LOG10(1.010283)</f>
        <v>4.4430451912348661E-3</v>
      </c>
      <c r="D4125">
        <f>LOG10(3.856045)</f>
        <v>0.58614209347188506</v>
      </c>
    </row>
    <row r="4126" spans="1:4">
      <c r="A4126">
        <v>1.007674</v>
      </c>
      <c r="B4126">
        <v>3.743382</v>
      </c>
      <c r="C4126">
        <f>LOG10(1.007674)</f>
        <v>3.3200530416265281E-3</v>
      </c>
      <c r="D4126">
        <f>LOG10(3.743382)</f>
        <v>0.5732641477200846</v>
      </c>
    </row>
    <row r="4127" spans="1:4">
      <c r="A4127">
        <v>1.0111380000000001</v>
      </c>
      <c r="B4127">
        <v>4.6166229999999997</v>
      </c>
      <c r="C4127">
        <f>LOG10(1.011138)</f>
        <v>4.8104320979414708E-3</v>
      </c>
      <c r="D4127">
        <f>LOG10(4.616623)</f>
        <v>0.66432441089407634</v>
      </c>
    </row>
    <row r="4128" spans="1:4">
      <c r="A4128">
        <v>1.0061439999999999</v>
      </c>
      <c r="B4128">
        <v>4.9017580000000001</v>
      </c>
      <c r="C4128">
        <f>LOG10(1.006144)</f>
        <v>2.6601416840352182E-3</v>
      </c>
      <c r="D4128">
        <f>LOG10(4.901758)</f>
        <v>0.6903518663083571</v>
      </c>
    </row>
    <row r="4129" spans="1:4">
      <c r="A4129">
        <v>1.026251</v>
      </c>
      <c r="B4129">
        <v>5.0808580000000001</v>
      </c>
      <c r="C4129">
        <f>LOG10(1.026251)</f>
        <v>1.1253593313144272E-2</v>
      </c>
      <c r="D4129">
        <f>LOG10(5.080858)</f>
        <v>0.70593705740228596</v>
      </c>
    </row>
    <row r="4130" spans="1:4">
      <c r="A4130">
        <v>1.0220610000000001</v>
      </c>
      <c r="B4130">
        <v>5.2958369999999997</v>
      </c>
      <c r="C4130">
        <f>LOG10(1.022061)</f>
        <v>9.4768167114299071E-3</v>
      </c>
      <c r="D4130">
        <f>LOG10(5.295837)</f>
        <v>0.7239346095339928</v>
      </c>
    </row>
    <row r="4131" spans="1:4">
      <c r="A4131">
        <v>1.0252479999999999</v>
      </c>
      <c r="B4131">
        <v>3.7462080000000002</v>
      </c>
      <c r="C4131">
        <f>LOG10(1.025248)</f>
        <v>1.0828930761462309E-2</v>
      </c>
      <c r="D4131">
        <f>LOG10(3.746208)</f>
        <v>0.57359188695924301</v>
      </c>
    </row>
    <row r="4132" spans="1:4">
      <c r="A4132">
        <v>1.028432</v>
      </c>
      <c r="B4132">
        <v>3.8774959999999998</v>
      </c>
      <c r="C4132">
        <f>LOG10(1.028432)</f>
        <v>1.2175581396734327E-2</v>
      </c>
      <c r="D4132">
        <f>LOG10(3.877496)</f>
        <v>0.58855135847047202</v>
      </c>
    </row>
    <row r="4133" spans="1:4">
      <c r="A4133">
        <v>1.0297259999999999</v>
      </c>
      <c r="B4133">
        <v>3.7352059999999998</v>
      </c>
      <c r="C4133">
        <f>LOG10(1.029726)</f>
        <v>1.2721678570644157E-2</v>
      </c>
      <c r="D4133">
        <f>LOG10(3.735206)</f>
        <v>0.57231455854665125</v>
      </c>
    </row>
    <row r="4134" spans="1:4">
      <c r="A4134">
        <v>1.024035</v>
      </c>
      <c r="B4134">
        <v>3.7867639999999998</v>
      </c>
      <c r="C4134">
        <f>LOG10(1.024035)</f>
        <v>1.0314800435809682E-2</v>
      </c>
      <c r="D4134">
        <f>LOG10(3.786764)</f>
        <v>0.57826823971510133</v>
      </c>
    </row>
    <row r="4135" spans="1:4">
      <c r="A4135">
        <v>1.0223469999999999</v>
      </c>
      <c r="B4135">
        <v>3.907896</v>
      </c>
      <c r="C4135">
        <f>LOG10(1.022347)</f>
        <v>9.5983269213630509E-3</v>
      </c>
      <c r="D4135">
        <f>LOG10(3.907896)</f>
        <v>0.5919429974144127</v>
      </c>
    </row>
    <row r="4136" spans="1:4">
      <c r="A4136">
        <v>1.0185070000000001</v>
      </c>
      <c r="B4136">
        <v>3.7829820000000001</v>
      </c>
      <c r="C4136">
        <f>LOG10(1.018507)</f>
        <v>7.9640181677258278E-3</v>
      </c>
      <c r="D4136">
        <f>LOG10(3.782982)</f>
        <v>0.57783427485888939</v>
      </c>
    </row>
    <row r="4137" spans="1:4">
      <c r="A4137">
        <v>1.0195810000000001</v>
      </c>
      <c r="B4137">
        <v>3.289917</v>
      </c>
      <c r="C4137">
        <f>LOG10(1.019581)</f>
        <v>8.421733748936136E-3</v>
      </c>
      <c r="D4137">
        <f>LOG10(3.289917)</f>
        <v>0.51718494144641969</v>
      </c>
    </row>
    <row r="4138" spans="1:4">
      <c r="A4138">
        <v>1.0169999999999999</v>
      </c>
      <c r="B4138">
        <v>3.8036059999999998</v>
      </c>
      <c r="C4138">
        <f>LOG10(1.017)</f>
        <v>7.3209529227445565E-3</v>
      </c>
      <c r="D4138">
        <f>LOG10(3.803606)</f>
        <v>0.58019552380481854</v>
      </c>
    </row>
    <row r="4139" spans="1:4">
      <c r="A4139">
        <v>1.0192699999999999</v>
      </c>
      <c r="B4139">
        <v>3.5397379999999998</v>
      </c>
      <c r="C4139">
        <f>LOG10(1.01927)</f>
        <v>8.2892418847248413E-3</v>
      </c>
      <c r="D4139">
        <f>LOG10(3.539738)</f>
        <v>0.54897111813732458</v>
      </c>
    </row>
    <row r="4140" spans="1:4">
      <c r="A4140">
        <v>1.013225</v>
      </c>
      <c r="B4140">
        <v>3.6994379999999998</v>
      </c>
      <c r="C4140">
        <f>LOG10(1.013225)</f>
        <v>5.7058968983178015E-3</v>
      </c>
      <c r="D4140">
        <f>LOG10(3.699438)</f>
        <v>0.56813575324615728</v>
      </c>
    </row>
    <row r="4141" spans="1:4">
      <c r="A4141">
        <v>1.017228</v>
      </c>
      <c r="B4141">
        <v>3.5166140000000001</v>
      </c>
      <c r="C4141">
        <f>LOG10(1.017228)</f>
        <v>7.4183059650668815E-3</v>
      </c>
      <c r="D4141">
        <f>LOG10(3.516614)</f>
        <v>0.54612470073945452</v>
      </c>
    </row>
    <row r="4142" spans="1:4">
      <c r="A4142">
        <v>1.01925</v>
      </c>
      <c r="B4142">
        <v>3.6065499999999999</v>
      </c>
      <c r="C4142">
        <f>LOG10(1.01925)</f>
        <v>8.2807201241943545E-3</v>
      </c>
      <c r="D4142">
        <f>LOG10(3.60655)</f>
        <v>0.55709195748090856</v>
      </c>
    </row>
    <row r="4143" spans="1:4">
      <c r="A4143">
        <v>1.017906</v>
      </c>
      <c r="B4143">
        <v>3.9041950000000001</v>
      </c>
      <c r="C4143">
        <f>LOG10(1.017906)</f>
        <v>7.7076743011310952E-3</v>
      </c>
      <c r="D4143">
        <f>LOG10(3.904195)</f>
        <v>0.59153150092831841</v>
      </c>
    </row>
    <row r="4144" spans="1:4">
      <c r="A4144">
        <v>1.0163800000000001</v>
      </c>
      <c r="B4144">
        <v>3.847925</v>
      </c>
      <c r="C4144">
        <f>LOG10(1.01638)</f>
        <v>7.0561105547420561E-3</v>
      </c>
      <c r="D4144">
        <f>LOG10(3.847925)</f>
        <v>0.58522659860393222</v>
      </c>
    </row>
    <row r="4145" spans="1:4">
      <c r="A4145">
        <v>1.0164789999999999</v>
      </c>
      <c r="B4145">
        <v>4.0939940000000004</v>
      </c>
      <c r="C4145">
        <f>LOG10(1.016479)</f>
        <v>7.0984107376296512E-3</v>
      </c>
      <c r="D4145">
        <f>LOG10(4.093994)</f>
        <v>0.6121472018416797</v>
      </c>
    </row>
    <row r="4146" spans="1:4">
      <c r="A4146">
        <v>1.011781</v>
      </c>
      <c r="B4146">
        <v>4.466958</v>
      </c>
      <c r="C4146">
        <f>LOG10(1.011781)</f>
        <v>5.0865196340893247E-3</v>
      </c>
      <c r="D4146">
        <f>LOG10(4.466958)</f>
        <v>0.65001186909283903</v>
      </c>
    </row>
    <row r="4147" spans="1:4">
      <c r="A4147">
        <v>1.0179</v>
      </c>
      <c r="B4147">
        <v>4.642423</v>
      </c>
      <c r="C4147">
        <f>LOG10(1.0179)</f>
        <v>7.7051143647801799E-3</v>
      </c>
      <c r="D4147">
        <f>LOG10(4.642423)</f>
        <v>0.66674470919104656</v>
      </c>
    </row>
    <row r="4148" spans="1:4">
      <c r="A4148">
        <v>1.012513</v>
      </c>
      <c r="B4148">
        <v>4.5904470000000002</v>
      </c>
      <c r="C4148">
        <f>LOG10(1.012513)</f>
        <v>5.4006079775903385E-3</v>
      </c>
      <c r="D4148">
        <f>LOG10(4.590447)</f>
        <v>0.6618549775157595</v>
      </c>
    </row>
    <row r="4149" spans="1:4">
      <c r="A4149">
        <v>1.0155689999999999</v>
      </c>
      <c r="B4149">
        <v>4.5035829999999999</v>
      </c>
      <c r="C4149">
        <f>LOG10(1.015569)</f>
        <v>6.7094356691754353E-3</v>
      </c>
      <c r="D4149">
        <f>LOG10(4.503583)</f>
        <v>0.65355817110105563</v>
      </c>
    </row>
    <row r="4150" spans="1:4">
      <c r="A4150">
        <v>1.0274700000000001</v>
      </c>
      <c r="B4150">
        <v>4.4665520000000001</v>
      </c>
      <c r="C4150">
        <f>LOG10(1.02747)</f>
        <v>1.1769150232133369E-2</v>
      </c>
      <c r="D4150">
        <f>LOG10(4.466552)</f>
        <v>0.64997239444966426</v>
      </c>
    </row>
    <row r="4151" spans="1:4">
      <c r="A4151">
        <v>1.0201640000000001</v>
      </c>
      <c r="B4151">
        <v>4.4898340000000001</v>
      </c>
      <c r="C4151">
        <f>LOG10(1.020164)</f>
        <v>8.6699938891441741E-3</v>
      </c>
      <c r="D4151">
        <f>LOG10(4.489834)</f>
        <v>0.65223028438490371</v>
      </c>
    </row>
    <row r="4152" spans="1:4">
      <c r="A4152">
        <v>1.016567</v>
      </c>
      <c r="B4152">
        <v>4.3880999999999997</v>
      </c>
      <c r="C4152">
        <f>LOG10(1.016567)</f>
        <v>7.1360074417193692E-3</v>
      </c>
      <c r="D4152">
        <f>LOG10(4.3881)</f>
        <v>0.64227651611172809</v>
      </c>
    </row>
    <row r="4153" spans="1:4">
      <c r="A4153">
        <v>1.027039</v>
      </c>
      <c r="B4153">
        <v>4.2159659999999999</v>
      </c>
      <c r="C4153">
        <f>LOG10(1.027039)</f>
        <v>1.15869354796585E-2</v>
      </c>
      <c r="D4153">
        <f>LOG10(4.215966)</f>
        <v>0.62489709981551356</v>
      </c>
    </row>
    <row r="4154" spans="1:4">
      <c r="A4154">
        <v>1.0202549999999999</v>
      </c>
      <c r="B4154">
        <v>4.4332320000000003</v>
      </c>
      <c r="C4154">
        <f>LOG10(1.020255)</f>
        <v>8.7087318129523035E-3</v>
      </c>
      <c r="D4154">
        <f>LOG10(4.433232)</f>
        <v>0.64672045940295841</v>
      </c>
    </row>
    <row r="4155" spans="1:4">
      <c r="A4155">
        <v>1.0228699999999999</v>
      </c>
      <c r="B4155">
        <v>4.6204450000000001</v>
      </c>
      <c r="C4155">
        <f>LOG10(1.02287)</f>
        <v>9.8204412681403199E-3</v>
      </c>
      <c r="D4155">
        <f>LOG10(4.620445)</f>
        <v>0.66468380493654955</v>
      </c>
    </row>
    <row r="4156" spans="1:4">
      <c r="A4156">
        <v>1.023965</v>
      </c>
      <c r="B4156">
        <v>4.7867350000000002</v>
      </c>
      <c r="C4156">
        <f>LOG10(1.023965)</f>
        <v>1.028511233644926E-2</v>
      </c>
      <c r="D4156">
        <f>LOG10(4.786735)</f>
        <v>0.68003938502877148</v>
      </c>
    </row>
    <row r="4157" spans="1:4">
      <c r="A4157">
        <v>1.0254030000000001</v>
      </c>
      <c r="B4157">
        <v>4.5058160000000003</v>
      </c>
      <c r="C4157">
        <f>LOG10(1.025403)</f>
        <v>1.08945837124747E-2</v>
      </c>
      <c r="D4157">
        <f>LOG10(4.505816)</f>
        <v>0.65377345285246835</v>
      </c>
    </row>
    <row r="4158" spans="1:4">
      <c r="A4158">
        <v>1.0200899999999999</v>
      </c>
      <c r="B4158">
        <v>4.6510069999999999</v>
      </c>
      <c r="C4158">
        <f>LOG10(1.02009)</f>
        <v>8.6384901727686748E-3</v>
      </c>
      <c r="D4158">
        <f>LOG10(4.651007)</f>
        <v>0.66754699314709709</v>
      </c>
    </row>
    <row r="4159" spans="1:4">
      <c r="A4159">
        <v>1.0188740000000001</v>
      </c>
      <c r="B4159">
        <v>4.4722479999999996</v>
      </c>
      <c r="C4159">
        <f>LOG10(1.018874)</f>
        <v>8.1204798963690362E-3</v>
      </c>
      <c r="D4159">
        <f>LOG10(4.472248)</f>
        <v>0.65052587851995181</v>
      </c>
    </row>
    <row r="4160" spans="1:4">
      <c r="A4160">
        <v>1.018089</v>
      </c>
      <c r="B4160">
        <v>3.9999289999999998</v>
      </c>
      <c r="C4160">
        <f>LOG10(1.018089)</f>
        <v>7.7857451121127906E-3</v>
      </c>
      <c r="D4160">
        <f>LOG10(3.999929)</f>
        <v>0.60205228253249288</v>
      </c>
    </row>
    <row r="4161" spans="1:4">
      <c r="A4161">
        <v>1.026878</v>
      </c>
      <c r="B4161">
        <v>3.7298249999999999</v>
      </c>
      <c r="C4161">
        <f>LOG10(1.026878)</f>
        <v>1.1518849562136352E-2</v>
      </c>
      <c r="D4161">
        <f>LOG10(3.729825)</f>
        <v>0.57168845558421932</v>
      </c>
    </row>
    <row r="4162" spans="1:4">
      <c r="A4162">
        <v>1.0243249999999999</v>
      </c>
      <c r="B4162">
        <v>3.907737</v>
      </c>
      <c r="C4162">
        <f>LOG10(1.024325)</f>
        <v>1.0437772374915485E-2</v>
      </c>
      <c r="D4162">
        <f>LOG10(3.907737)</f>
        <v>0.59192532697808786</v>
      </c>
    </row>
    <row r="4163" spans="1:4">
      <c r="A4163">
        <v>1.018586</v>
      </c>
      <c r="B4163">
        <v>3.779795</v>
      </c>
      <c r="C4163">
        <f>LOG10(1.018586)</f>
        <v>7.9977027016057533E-3</v>
      </c>
      <c r="D4163">
        <f>LOG10(3.779795)</f>
        <v>0.57746824619091297</v>
      </c>
    </row>
    <row r="4164" spans="1:4">
      <c r="A4164">
        <v>1.025722</v>
      </c>
      <c r="B4164">
        <v>3.6906780000000001</v>
      </c>
      <c r="C4164">
        <f>LOG10(1.025722)</f>
        <v>1.1029670497379679E-2</v>
      </c>
      <c r="D4164">
        <f>LOG10(3.690678)</f>
        <v>0.56710615602648418</v>
      </c>
    </row>
    <row r="4165" spans="1:4">
      <c r="A4165">
        <v>1.019719</v>
      </c>
      <c r="B4165">
        <v>3.7862089999999999</v>
      </c>
      <c r="C4165">
        <f>LOG10(1.019719)</f>
        <v>8.4805114065579865E-3</v>
      </c>
      <c r="D4165">
        <f>LOG10(3.786209)</f>
        <v>0.57820458348976211</v>
      </c>
    </row>
    <row r="4166" spans="1:4">
      <c r="A4166">
        <v>1.0268930000000001</v>
      </c>
      <c r="B4166">
        <v>4.0869270000000002</v>
      </c>
      <c r="C4166">
        <f>LOG10(1.026893)</f>
        <v>1.1525193421533245E-2</v>
      </c>
      <c r="D4166">
        <f>LOG10(4.086927)</f>
        <v>0.61139688048616692</v>
      </c>
    </row>
    <row r="4167" spans="1:4">
      <c r="A4167">
        <v>1.025617</v>
      </c>
      <c r="B4167">
        <v>4.0277200000000004</v>
      </c>
      <c r="C4167">
        <f>LOG10(1.025617)</f>
        <v>1.0985210834067399E-2</v>
      </c>
      <c r="D4167">
        <f>LOG10(4.02772)</f>
        <v>0.60505927154353945</v>
      </c>
    </row>
    <row r="4168" spans="1:4">
      <c r="A4168">
        <v>1.022985</v>
      </c>
      <c r="B4168">
        <v>3.9628019999999999</v>
      </c>
      <c r="C4168">
        <f>LOG10(1.022985)</f>
        <v>9.8692657111937275E-3</v>
      </c>
      <c r="D4168">
        <f>LOG10(3.962802)</f>
        <v>0.5980023735061254</v>
      </c>
    </row>
    <row r="4169" spans="1:4">
      <c r="A4169">
        <v>1.010861</v>
      </c>
      <c r="B4169">
        <v>3.9392770000000001</v>
      </c>
      <c r="C4169">
        <f>LOG10(1.010861)</f>
        <v>4.6914413642766221E-3</v>
      </c>
      <c r="D4169">
        <f>LOG10(3.939277)</f>
        <v>0.59541652037294157</v>
      </c>
    </row>
    <row r="4170" spans="1:4">
      <c r="A4170">
        <v>1.0130079999999999</v>
      </c>
      <c r="B4170">
        <v>3.9119489999999999</v>
      </c>
      <c r="C4170">
        <f>LOG10(1.013008)</f>
        <v>5.6128751155974897E-3</v>
      </c>
      <c r="D4170">
        <f>LOG10(3.911949)</f>
        <v>0.59239318426409282</v>
      </c>
    </row>
    <row r="4171" spans="1:4">
      <c r="A4171">
        <v>1.020635</v>
      </c>
      <c r="B4171">
        <v>3.8871869999999999</v>
      </c>
      <c r="C4171">
        <f>LOG10(1.020635)</f>
        <v>8.8704572415940833E-3</v>
      </c>
      <c r="D4171">
        <f>LOG10(3.887187)</f>
        <v>0.58963543363734705</v>
      </c>
    </row>
    <row r="4172" spans="1:4">
      <c r="A4172">
        <v>1.0218719999999999</v>
      </c>
      <c r="B4172">
        <v>4.0003479999999998</v>
      </c>
      <c r="C4172">
        <f>LOG10(1.021872)</f>
        <v>9.3964993455341022E-3</v>
      </c>
      <c r="D4172">
        <f>LOG10(4.000348)</f>
        <v>0.60209777330439584</v>
      </c>
    </row>
    <row r="4173" spans="1:4">
      <c r="A4173">
        <v>1.0204690000000001</v>
      </c>
      <c r="B4173">
        <v>4.0088590000000002</v>
      </c>
      <c r="C4173">
        <f>LOG10(1.020469)</f>
        <v>8.7998161726874132E-3</v>
      </c>
      <c r="D4173">
        <f>LOG10(4.008859)</f>
        <v>0.60302078146907323</v>
      </c>
    </row>
    <row r="4174" spans="1:4">
      <c r="A4174">
        <v>1.0282560000000001</v>
      </c>
      <c r="B4174">
        <v>4.1323920000000003</v>
      </c>
      <c r="C4174">
        <f>LOG10(1.028256)</f>
        <v>1.2101252350226998E-2</v>
      </c>
      <c r="D4174">
        <f>LOG10(4.132392)</f>
        <v>0.61620151211234042</v>
      </c>
    </row>
    <row r="4175" spans="1:4">
      <c r="A4175">
        <v>1.017639</v>
      </c>
      <c r="B4175">
        <v>3.9988589999999999</v>
      </c>
      <c r="C4175">
        <f>LOG10(1.017639)</f>
        <v>7.5937425262666758E-3</v>
      </c>
      <c r="D4175">
        <f>LOG10(3.998859)</f>
        <v>0.6019360911548971</v>
      </c>
    </row>
    <row r="4176" spans="1:4">
      <c r="A4176">
        <v>1.019118</v>
      </c>
      <c r="B4176">
        <v>4.0883630000000002</v>
      </c>
      <c r="C4176">
        <f>LOG10(1.019118)</f>
        <v>8.2244723105597464E-3</v>
      </c>
      <c r="D4176">
        <f>LOG10(4.088363)</f>
        <v>0.61154944923478061</v>
      </c>
    </row>
    <row r="4177" spans="1:4">
      <c r="A4177">
        <v>1.0208280000000001</v>
      </c>
      <c r="B4177">
        <v>3.637972</v>
      </c>
      <c r="C4177">
        <f>LOG10(1.020828)</f>
        <v>8.9525736799102272E-3</v>
      </c>
      <c r="D4177">
        <f>LOG10(3.637972)</f>
        <v>0.56085935215124449</v>
      </c>
    </row>
    <row r="4178" spans="1:4">
      <c r="A4178">
        <v>1.0055620000000001</v>
      </c>
      <c r="B4178">
        <v>5.1831690000000004</v>
      </c>
      <c r="C4178">
        <f>LOG10(1.005562)</f>
        <v>2.4088530807109937E-3</v>
      </c>
      <c r="D4178">
        <f>LOG10(5.183169)</f>
        <v>0.71459536947446745</v>
      </c>
    </row>
    <row r="4179" spans="1:4">
      <c r="A4179">
        <v>1.007233</v>
      </c>
      <c r="B4179">
        <v>4.7719690000000003</v>
      </c>
      <c r="C4179">
        <f>LOG10(1.007233)</f>
        <v>3.1299461338858562E-3</v>
      </c>
      <c r="D4179">
        <f>LOG10(4.771969)</f>
        <v>0.67869761371316828</v>
      </c>
    </row>
    <row r="4180" spans="1:4">
      <c r="A4180">
        <v>1.008356</v>
      </c>
      <c r="B4180">
        <v>3.8405900000000002</v>
      </c>
      <c r="C4180">
        <f>LOG10(1.008356)</f>
        <v>3.6138868119142582E-3</v>
      </c>
      <c r="D4180">
        <f>LOG10(3.84059)</f>
        <v>0.58439794677943591</v>
      </c>
    </row>
    <row r="4181" spans="1:4">
      <c r="A4181">
        <v>1.0070330000000001</v>
      </c>
      <c r="B4181">
        <v>3.9031829999999998</v>
      </c>
      <c r="C4181">
        <f>LOG10(1.007033)</f>
        <v>3.0437024136760289E-3</v>
      </c>
      <c r="D4181">
        <f>LOG10(3.903183)</f>
        <v>0.59141891357360155</v>
      </c>
    </row>
    <row r="4182" spans="1:4">
      <c r="A4182">
        <v>1.0081599999999999</v>
      </c>
      <c r="B4182">
        <v>3.7470840000000001</v>
      </c>
      <c r="C4182">
        <f>LOG10(1.00816)</f>
        <v>3.5294622710515706E-3</v>
      </c>
      <c r="D4182">
        <f>LOG10(3.747084)</f>
        <v>0.57369342896985198</v>
      </c>
    </row>
    <row r="4183" spans="1:4">
      <c r="A4183">
        <v>1.0054430000000001</v>
      </c>
      <c r="B4183">
        <v>3.843372</v>
      </c>
      <c r="C4183">
        <f>LOG10(1.005443)</f>
        <v>2.3574548560354701E-3</v>
      </c>
      <c r="D4183">
        <f>LOG10(3.843372)</f>
        <v>0.58471242186441064</v>
      </c>
    </row>
    <row r="4184" spans="1:4">
      <c r="A4184">
        <v>1.0069220000000001</v>
      </c>
      <c r="B4184">
        <v>3.843674</v>
      </c>
      <c r="C4184">
        <f>LOG10(1.006922)</f>
        <v>2.9958297575937813E-3</v>
      </c>
      <c r="D4184">
        <f>LOG10(3.843674)</f>
        <v>0.58474654600874443</v>
      </c>
    </row>
    <row r="4185" spans="1:4">
      <c r="A4185">
        <v>1.0081310000000001</v>
      </c>
      <c r="B4185">
        <v>3.5591249999999999</v>
      </c>
      <c r="C4185">
        <f>LOG10(1.008131)</f>
        <v>3.5169694910153647E-3</v>
      </c>
      <c r="D4185">
        <f>LOG10(3.559125)</f>
        <v>0.55134324112464483</v>
      </c>
    </row>
    <row r="4186" spans="1:4">
      <c r="A4186">
        <v>1.0082450000000001</v>
      </c>
      <c r="B4186">
        <v>3.3806240000000001</v>
      </c>
      <c r="C4186">
        <f>LOG10(1.008245)</f>
        <v>3.5660769699674046E-3</v>
      </c>
      <c r="D4186">
        <f>LOG10(3.380624)</f>
        <v>0.52899687032038367</v>
      </c>
    </row>
    <row r="4187" spans="1:4">
      <c r="A4187">
        <v>1.0086299999999999</v>
      </c>
      <c r="B4187">
        <v>3.611443</v>
      </c>
      <c r="C4187">
        <f>LOG10(1.00863)</f>
        <v>3.7318813728814022E-3</v>
      </c>
      <c r="D4187">
        <f>LOG10(3.611443)</f>
        <v>0.55768076470902761</v>
      </c>
    </row>
    <row r="4188" spans="1:4">
      <c r="A4188">
        <v>1.006629</v>
      </c>
      <c r="B4188">
        <v>3.6773129999999998</v>
      </c>
      <c r="C4188">
        <f>LOG10(1.006629)</f>
        <v>2.8694378419225827E-3</v>
      </c>
      <c r="D4188">
        <f>LOG10(3.677313)</f>
        <v>0.56553059706699982</v>
      </c>
    </row>
    <row r="4189" spans="1:4">
      <c r="A4189">
        <v>1.0124299999999999</v>
      </c>
      <c r="B4189">
        <v>3.5254910000000002</v>
      </c>
      <c r="C4189">
        <f>LOG10(1.01243)</f>
        <v>5.3650055512324797E-3</v>
      </c>
      <c r="D4189">
        <f>LOG10(3.525491)</f>
        <v>0.54721961033193056</v>
      </c>
    </row>
    <row r="4190" spans="1:4">
      <c r="A4190">
        <v>1.0083359999999999</v>
      </c>
      <c r="B4190">
        <v>3.539981</v>
      </c>
      <c r="C4190">
        <f>LOG10(1.008336)</f>
        <v>3.6052728146966301E-3</v>
      </c>
      <c r="D4190">
        <f>LOG10(3.539981)</f>
        <v>0.54900093106044878</v>
      </c>
    </row>
    <row r="4191" spans="1:4">
      <c r="A4191">
        <v>1.010173</v>
      </c>
      <c r="B4191">
        <v>3.690626</v>
      </c>
      <c r="C4191">
        <f>LOG10(1.010173)</f>
        <v>4.3957564672472303E-3</v>
      </c>
      <c r="D4191">
        <f>LOG10(3.690626)</f>
        <v>0.56710003696864297</v>
      </c>
    </row>
    <row r="4192" spans="1:4">
      <c r="A4192">
        <v>1.00854</v>
      </c>
      <c r="B4192">
        <v>3.777501</v>
      </c>
      <c r="C4192">
        <f>LOG10(1.00854)</f>
        <v>3.6931275708744363E-3</v>
      </c>
      <c r="D4192">
        <f>LOG10(3.777501)</f>
        <v>0.57720458797980534</v>
      </c>
    </row>
    <row r="4193" spans="1:4">
      <c r="A4193">
        <v>1.00861</v>
      </c>
      <c r="B4193">
        <v>3.9175620000000002</v>
      </c>
      <c r="C4193">
        <f>LOG10(1.00861)</f>
        <v>3.7232697157277565E-3</v>
      </c>
      <c r="D4193">
        <f>LOG10(3.917562)</f>
        <v>0.59301587841307379</v>
      </c>
    </row>
    <row r="4194" spans="1:4">
      <c r="A4194">
        <v>1.0109790000000001</v>
      </c>
      <c r="B4194">
        <v>4.2221299999999999</v>
      </c>
      <c r="C4194">
        <f>LOG10(1.010979)</f>
        <v>4.7421345436803293E-3</v>
      </c>
      <c r="D4194">
        <f>LOG10(4.22213)</f>
        <v>0.62553160116809881</v>
      </c>
    </row>
    <row r="4195" spans="1:4">
      <c r="A4195">
        <v>1.0153730000000001</v>
      </c>
      <c r="B4195">
        <v>4.3781299999999996</v>
      </c>
      <c r="C4195">
        <f>LOG10(1.015373)</f>
        <v>6.6256108049328908E-3</v>
      </c>
      <c r="D4195">
        <f>LOG10(4.37813)</f>
        <v>0.64128865294786308</v>
      </c>
    </row>
    <row r="4196" spans="1:4">
      <c r="A4196">
        <v>1.014224</v>
      </c>
      <c r="B4196">
        <v>4.4523669999999997</v>
      </c>
      <c r="C4196">
        <f>LOG10(1.014224)</f>
        <v>6.1338832225446222E-3</v>
      </c>
      <c r="D4196">
        <f>LOG10(4.452367)</f>
        <v>0.64859095519226073</v>
      </c>
    </row>
    <row r="4197" spans="1:4">
      <c r="A4197">
        <v>1.012337</v>
      </c>
      <c r="B4197">
        <v>4.4840799999999996</v>
      </c>
      <c r="C4197">
        <f>LOG10(1.012337)</f>
        <v>5.3251102083655116E-3</v>
      </c>
      <c r="D4197">
        <f>LOG10(4.48408)</f>
        <v>0.6516733521942607</v>
      </c>
    </row>
    <row r="4198" spans="1:4">
      <c r="A4198">
        <v>1.013496</v>
      </c>
      <c r="B4198">
        <v>4.3886940000000001</v>
      </c>
      <c r="C4198">
        <f>LOG10(1.013496)</f>
        <v>5.8220389872359803E-3</v>
      </c>
      <c r="D4198">
        <f>LOG10(4.388694)</f>
        <v>0.6423353008849938</v>
      </c>
    </row>
    <row r="4199" spans="1:4">
      <c r="A4199">
        <v>1.015833</v>
      </c>
      <c r="B4199">
        <v>4.3790440000000004</v>
      </c>
      <c r="C4199">
        <f>LOG10(1.015833)</f>
        <v>6.8223170622900989E-3</v>
      </c>
      <c r="D4199">
        <f>LOG10(4.379044)</f>
        <v>0.64137930894211448</v>
      </c>
    </row>
    <row r="4200" spans="1:4">
      <c r="A4200">
        <v>1.0138149999999999</v>
      </c>
      <c r="B4200">
        <v>4.4699229999999996</v>
      </c>
      <c r="C4200">
        <f>LOG10(1.013815)</f>
        <v>5.9587125818354372E-3</v>
      </c>
      <c r="D4200">
        <f>LOG10(4.469923)</f>
        <v>0.65030004193213031</v>
      </c>
    </row>
    <row r="4201" spans="1:4">
      <c r="A4201">
        <v>1.024286</v>
      </c>
      <c r="B4201">
        <v>4.2248239999999999</v>
      </c>
      <c r="C4201">
        <f>LOG10(1.024286)</f>
        <v>1.0421236795641305E-2</v>
      </c>
      <c r="D4201">
        <f>LOG10(4.224824)</f>
        <v>0.62580862158845785</v>
      </c>
    </row>
    <row r="4202" spans="1:4">
      <c r="A4202">
        <v>1.02434</v>
      </c>
      <c r="B4202">
        <v>4.2203429999999997</v>
      </c>
      <c r="C4202">
        <f>LOG10(1.02434)</f>
        <v>1.0444132045460653E-2</v>
      </c>
      <c r="D4202">
        <f>LOG10(4.220343)</f>
        <v>0.6253477488180228</v>
      </c>
    </row>
    <row r="4203" spans="1:4">
      <c r="A4203">
        <v>1.011231</v>
      </c>
      <c r="B4203">
        <v>4.4207939999999999</v>
      </c>
      <c r="C4203">
        <f>LOG10(1.011231)</f>
        <v>4.8503747462370376E-3</v>
      </c>
      <c r="D4203">
        <f>LOG10(4.420794)</f>
        <v>0.64550027813870026</v>
      </c>
    </row>
    <row r="4204" spans="1:4">
      <c r="A4204">
        <v>1.0194650000000001</v>
      </c>
      <c r="B4204">
        <v>4.5906729999999998</v>
      </c>
      <c r="C4204">
        <f>LOG10(1.019465)</f>
        <v>8.3723202879792697E-3</v>
      </c>
      <c r="D4204">
        <f>LOG10(4.590673)</f>
        <v>0.66187635846991977</v>
      </c>
    </row>
    <row r="4205" spans="1:4">
      <c r="A4205">
        <v>1.0255270000000001</v>
      </c>
      <c r="B4205">
        <v>4.6560639999999998</v>
      </c>
      <c r="C4205">
        <f>LOG10(1.025527)</f>
        <v>1.0947098928324708E-2</v>
      </c>
      <c r="D4205">
        <f>LOG10(4.656064)</f>
        <v>0.66801894128440376</v>
      </c>
    </row>
    <row r="4206" spans="1:4">
      <c r="A4206">
        <v>1.023461</v>
      </c>
      <c r="B4206">
        <v>4.4334730000000002</v>
      </c>
      <c r="C4206">
        <f>LOG10(1.023461)</f>
        <v>1.0071298090366183E-2</v>
      </c>
      <c r="D4206">
        <f>LOG10(4.433473)</f>
        <v>0.6467440679407781</v>
      </c>
    </row>
    <row r="4207" spans="1:4">
      <c r="A4207">
        <v>1.017539</v>
      </c>
      <c r="B4207">
        <v>4.5649459999999999</v>
      </c>
      <c r="C4207">
        <f>LOG10(1.017539)</f>
        <v>7.5510637549500922E-3</v>
      </c>
      <c r="D4207">
        <f>LOG10(4.564946)</f>
        <v>0.65943564451199754</v>
      </c>
    </row>
    <row r="4208" spans="1:4">
      <c r="A4208">
        <v>1.02017</v>
      </c>
      <c r="B4208">
        <v>4.2788250000000003</v>
      </c>
      <c r="C4208">
        <f>LOG10(1.02017)</f>
        <v>8.672548144370431E-3</v>
      </c>
      <c r="D4208">
        <f>LOG10(4.278825)</f>
        <v>0.63132452460300081</v>
      </c>
    </row>
    <row r="4209" spans="1:4">
      <c r="A4209">
        <v>1.01552</v>
      </c>
      <c r="B4209">
        <v>3.8232599999999999</v>
      </c>
      <c r="C4209">
        <f>LOG10(1.01552)</f>
        <v>6.6884809698812405E-3</v>
      </c>
      <c r="D4209">
        <f>LOG10(3.82326)</f>
        <v>0.58243383312909192</v>
      </c>
    </row>
    <row r="4210" spans="1:4">
      <c r="A4210">
        <v>1.014408</v>
      </c>
      <c r="B4210">
        <v>3.7600389999999999</v>
      </c>
      <c r="C4210">
        <f>LOG10(1.014408)</f>
        <v>6.2126655594981119E-3</v>
      </c>
      <c r="D4210">
        <f>LOG10(3.760039)</f>
        <v>0.5751923495545106</v>
      </c>
    </row>
    <row r="4211" spans="1:4">
      <c r="A4211">
        <v>1.0237849999999999</v>
      </c>
      <c r="B4211">
        <v>3.7740230000000001</v>
      </c>
      <c r="C4211">
        <f>LOG10(1.023785)</f>
        <v>1.020876218926923E-2</v>
      </c>
      <c r="D4211">
        <f>LOG10(3.774023)</f>
        <v>0.57680454255457403</v>
      </c>
    </row>
    <row r="4212" spans="1:4">
      <c r="A4212">
        <v>1.0133890000000001</v>
      </c>
      <c r="B4212">
        <v>3.7655439999999998</v>
      </c>
      <c r="C4212">
        <f>LOG10(1.013389)</f>
        <v>5.7761858583147505E-3</v>
      </c>
      <c r="D4212">
        <f>LOG10(3.765544)</f>
        <v>0.57582772665401616</v>
      </c>
    </row>
    <row r="4213" spans="1:4">
      <c r="A4213">
        <v>1.009128</v>
      </c>
      <c r="B4213">
        <v>3.6918120000000001</v>
      </c>
      <c r="C4213">
        <f>LOG10(1.009128)</f>
        <v>3.9462565916929416E-3</v>
      </c>
      <c r="D4213">
        <f>LOG10(3.691812)</f>
        <v>0.56723957712054629</v>
      </c>
    </row>
    <row r="4214" spans="1:4">
      <c r="A4214">
        <v>1.01058</v>
      </c>
      <c r="B4214">
        <v>3.8119459999999998</v>
      </c>
      <c r="C4214">
        <f>LOG10(1.01058)</f>
        <v>4.5706990322462821E-3</v>
      </c>
      <c r="D4214">
        <f>LOG10(3.811946)</f>
        <v>0.58114673979731402</v>
      </c>
    </row>
    <row r="4215" spans="1:4">
      <c r="A4215">
        <v>1.008159</v>
      </c>
      <c r="B4215">
        <v>3.9728089999999998</v>
      </c>
      <c r="C4215">
        <f>LOG10(1.008159)</f>
        <v>3.5290314915153291E-3</v>
      </c>
      <c r="D4215">
        <f>LOG10(3.972809)</f>
        <v>0.59909768606215785</v>
      </c>
    </row>
    <row r="4216" spans="1:4">
      <c r="A4216">
        <v>1.0087159999999999</v>
      </c>
      <c r="B4216">
        <v>4.1867279999999996</v>
      </c>
      <c r="C4216">
        <f>LOG10(1.008716)</f>
        <v>3.7689095529420545E-3</v>
      </c>
      <c r="D4216">
        <f>LOG10(4.186728)</f>
        <v>0.62187474691076217</v>
      </c>
    </row>
    <row r="4217" spans="1:4">
      <c r="A4217">
        <v>1.0142979999999999</v>
      </c>
      <c r="B4217">
        <v>3.8844089999999998</v>
      </c>
      <c r="C4217">
        <f>LOG10(1.014298)</f>
        <v>6.1655691413318534E-3</v>
      </c>
      <c r="D4217">
        <f>LOG10(3.884409)</f>
        <v>0.58932495169203936</v>
      </c>
    </row>
    <row r="4218" spans="1:4">
      <c r="A4218">
        <v>1.008888</v>
      </c>
      <c r="B4218">
        <v>3.9786739999999998</v>
      </c>
      <c r="C4218">
        <f>LOG10(1.008888)</f>
        <v>3.8429564432816287E-3</v>
      </c>
      <c r="D4218">
        <f>LOG10(3.978674)</f>
        <v>0.59973835588394764</v>
      </c>
    </row>
    <row r="4219" spans="1:4">
      <c r="A4219">
        <v>1.009754</v>
      </c>
      <c r="B4219">
        <v>3.9818829999999998</v>
      </c>
      <c r="C4219">
        <f>LOG10(1.009754)</f>
        <v>4.2155822426070341E-3</v>
      </c>
      <c r="D4219">
        <f>LOG10(3.981883)</f>
        <v>0.60008849496791294</v>
      </c>
    </row>
    <row r="4220" spans="1:4">
      <c r="A4220">
        <v>1.013285</v>
      </c>
      <c r="B4220">
        <v>3.9421949999999999</v>
      </c>
      <c r="C4220">
        <f>LOG10(1.013285)</f>
        <v>5.7316136911505907E-3</v>
      </c>
      <c r="D4220">
        <f>LOG10(3.942195)</f>
        <v>0.59573810277686223</v>
      </c>
    </row>
    <row r="4221" spans="1:4">
      <c r="A4221">
        <v>1.019706</v>
      </c>
      <c r="B4221">
        <v>4.0816980000000003</v>
      </c>
      <c r="C4221">
        <f>LOG10(1.019706)</f>
        <v>8.4749747202225376E-3</v>
      </c>
      <c r="D4221">
        <f>LOG10(4.081698)</f>
        <v>0.61084086863446418</v>
      </c>
    </row>
    <row r="4222" spans="1:4">
      <c r="A4222">
        <v>1.027199</v>
      </c>
      <c r="B4222">
        <v>4.1943409999999997</v>
      </c>
      <c r="C4222">
        <f>LOG10(1.027199)</f>
        <v>1.1654587930099986E-2</v>
      </c>
      <c r="D4222">
        <f>LOG10(4.194341)</f>
        <v>0.62266373571399991</v>
      </c>
    </row>
    <row r="4223" spans="1:4">
      <c r="A4223">
        <v>1.0174810000000001</v>
      </c>
      <c r="B4223">
        <v>4.0873100000000004</v>
      </c>
      <c r="C4223">
        <f>LOG10(1.017481)</f>
        <v>7.5263081457107115E-3</v>
      </c>
      <c r="D4223">
        <f>LOG10(4.08731)</f>
        <v>0.61143757781037977</v>
      </c>
    </row>
    <row r="4224" spans="1:4">
      <c r="A4224">
        <v>1.009711</v>
      </c>
      <c r="B4224">
        <v>4.1154789999999997</v>
      </c>
      <c r="C4224">
        <f>LOG10(1.009711)</f>
        <v>4.1970875791940325E-3</v>
      </c>
      <c r="D4224">
        <f>LOG10(4.115479)</f>
        <v>0.6144203899614703</v>
      </c>
    </row>
    <row r="4225" spans="1:4">
      <c r="A4225">
        <v>1.0167060000000001</v>
      </c>
      <c r="B4225">
        <v>4.2251899999999996</v>
      </c>
      <c r="C4225">
        <f>LOG10(1.016706)</f>
        <v>7.1953865148479072E-3</v>
      </c>
      <c r="D4225">
        <f>LOG10(4.22519)</f>
        <v>0.62584624324931559</v>
      </c>
    </row>
    <row r="4226" spans="1:4">
      <c r="A4226">
        <v>1.020705</v>
      </c>
      <c r="B4226">
        <v>4.238855</v>
      </c>
      <c r="C4226">
        <f>LOG10(1.020705)</f>
        <v>8.9002422002439404E-3</v>
      </c>
      <c r="D4226">
        <f>LOG10(4.238855)</f>
        <v>0.62724856075861302</v>
      </c>
    </row>
    <row r="4227" spans="1:4">
      <c r="A4227">
        <v>1.0258830000000001</v>
      </c>
      <c r="B4227">
        <v>4.2422360000000001</v>
      </c>
      <c r="C4227">
        <f>LOG10(1.025883)</f>
        <v>1.1097833142459986E-2</v>
      </c>
      <c r="D4227">
        <f>LOG10(4.242236)</f>
        <v>0.62759482510623055</v>
      </c>
    </row>
    <row r="4228" spans="1:4">
      <c r="A4228">
        <v>1.0211030000000001</v>
      </c>
      <c r="B4228">
        <v>4.1765270000000001</v>
      </c>
      <c r="C4228">
        <f>LOG10(1.021103)</f>
        <v>9.0695521510196567E-3</v>
      </c>
      <c r="D4228">
        <f>LOG10(4.176527)</f>
        <v>0.62081529333510288</v>
      </c>
    </row>
    <row r="4229" spans="1:4">
      <c r="A4229">
        <v>1.0175920000000001</v>
      </c>
      <c r="B4229">
        <v>4.210979</v>
      </c>
      <c r="C4229">
        <f>LOG10(1.017592)</f>
        <v>7.573684026122917E-3</v>
      </c>
      <c r="D4229">
        <f>LOG10(4.210979)</f>
        <v>0.62438307561478867</v>
      </c>
    </row>
    <row r="4230" spans="1:4">
      <c r="A4230">
        <v>1.0221229999999999</v>
      </c>
      <c r="B4230">
        <v>4.3697549999999996</v>
      </c>
      <c r="C4230">
        <f>LOG10(1.022123)</f>
        <v>9.5031609719134682E-3</v>
      </c>
      <c r="D4230">
        <f>LOG10(4.369755)</f>
        <v>0.64045708797022805</v>
      </c>
    </row>
    <row r="4231" spans="1:4">
      <c r="A4231">
        <v>1.017034</v>
      </c>
      <c r="B4231">
        <v>4.310543</v>
      </c>
      <c r="C4231">
        <f>LOG10(1.017034)</f>
        <v>7.33547186626873E-3</v>
      </c>
      <c r="D4231">
        <f>LOG10(4.310543)</f>
        <v>0.63453198177321013</v>
      </c>
    </row>
    <row r="4232" spans="1:4">
      <c r="A4232">
        <v>1.023193</v>
      </c>
      <c r="B4232">
        <v>3.9331700000000001</v>
      </c>
      <c r="C4232">
        <f>LOG10(1.023193)</f>
        <v>9.9575603293032156E-3</v>
      </c>
      <c r="D4232">
        <f>LOG10(3.93317)</f>
        <v>0.5947427179496283</v>
      </c>
    </row>
    <row r="4233" spans="1:4">
      <c r="A4233">
        <v>1.0230539999999999</v>
      </c>
      <c r="B4233">
        <v>3.887629</v>
      </c>
      <c r="C4233">
        <f>LOG10(1.023054)</f>
        <v>9.8985577425407638E-3</v>
      </c>
      <c r="D4233">
        <f>LOG10(3.887629)</f>
        <v>0.58968481311107557</v>
      </c>
    </row>
    <row r="4234" spans="1:4">
      <c r="A4234">
        <v>1.025352</v>
      </c>
      <c r="B4234">
        <v>4.3033659999999996</v>
      </c>
      <c r="C4234">
        <f>LOG10(1.025352)</f>
        <v>1.0872982869290953E-2</v>
      </c>
      <c r="D4234">
        <f>LOG10(4.303366)</f>
        <v>0.63380828427004887</v>
      </c>
    </row>
    <row r="4235" spans="1:4">
      <c r="A4235">
        <v>1.0124409999999999</v>
      </c>
      <c r="B4235">
        <v>4.32782</v>
      </c>
      <c r="C4235">
        <f>LOG10(1.012441)</f>
        <v>5.3697241128603324E-3</v>
      </c>
      <c r="D4235">
        <f>LOG10(4.32782)</f>
        <v>0.63626918956792577</v>
      </c>
    </row>
    <row r="4236" spans="1:4">
      <c r="A4236">
        <v>1.017325</v>
      </c>
      <c r="B4236">
        <v>4.0176889999999998</v>
      </c>
      <c r="C4236">
        <f>LOG10(1.017325)</f>
        <v>7.4597170905342835E-3</v>
      </c>
      <c r="D4236">
        <f>LOG10(4.017689)</f>
        <v>0.6039763159833369</v>
      </c>
    </row>
    <row r="4237" spans="1:4">
      <c r="A4237">
        <v>1.0180169999999999</v>
      </c>
      <c r="B4237">
        <v>4.0077389999999999</v>
      </c>
      <c r="C4237">
        <f>LOG10(1.018017)</f>
        <v>7.7550304020632165E-3</v>
      </c>
      <c r="D4237">
        <f>LOG10(4.007739)</f>
        <v>0.60289943078567942</v>
      </c>
    </row>
    <row r="4238" spans="1:4">
      <c r="A4238">
        <v>1.0195080000000001</v>
      </c>
      <c r="B4238">
        <v>4.068994</v>
      </c>
      <c r="C4238">
        <f>LOG10(1.019508)</f>
        <v>8.3906380025587333E-3</v>
      </c>
      <c r="D4238">
        <f>LOG10(4.068994)</f>
        <v>0.60948704945790244</v>
      </c>
    </row>
    <row r="4239" spans="1:4">
      <c r="A4239">
        <v>1.0158320000000001</v>
      </c>
      <c r="B4239">
        <v>4.0442980000000004</v>
      </c>
      <c r="C4239">
        <f>LOG10(1.015832)</f>
        <v>6.8218895366085842E-3</v>
      </c>
      <c r="D4239">
        <f>LOG10(4.044298)</f>
        <v>0.60684314864680922</v>
      </c>
    </row>
    <row r="4240" spans="1:4">
      <c r="A4240">
        <v>1.0121180000000001</v>
      </c>
      <c r="B4240">
        <v>3.9893900000000002</v>
      </c>
      <c r="C4240">
        <f>LOG10(1.012118)</f>
        <v>5.2311486316371546E-3</v>
      </c>
      <c r="D4240">
        <f>LOG10(3.98939)</f>
        <v>0.60090649471261937</v>
      </c>
    </row>
    <row r="4241" spans="1:4">
      <c r="A4241">
        <v>1.0137910000000001</v>
      </c>
      <c r="B4241">
        <v>4.3028880000000003</v>
      </c>
      <c r="C4241">
        <f>LOG10(1.013791)</f>
        <v>5.9484314250761068E-3</v>
      </c>
      <c r="D4241">
        <f>LOG10(4.302888)</f>
        <v>0.63376004196565883</v>
      </c>
    </row>
    <row r="4242" spans="1:4">
      <c r="A4242">
        <v>1.0146489999999999</v>
      </c>
      <c r="B4242">
        <v>4.4287859999999997</v>
      </c>
      <c r="C4242">
        <f>LOG10(1.014649)</f>
        <v>6.3158316811308089E-3</v>
      </c>
      <c r="D4242">
        <f>LOG10(4.428786)</f>
        <v>0.64628469557838952</v>
      </c>
    </row>
    <row r="4243" spans="1:4">
      <c r="A4243">
        <v>1.01424</v>
      </c>
      <c r="B4243">
        <v>4.4533810000000003</v>
      </c>
      <c r="C4243">
        <f>LOG10(1.01424)</f>
        <v>6.1407344279005988E-3</v>
      </c>
      <c r="D4243">
        <f>LOG10(4.453381)</f>
        <v>0.64868985190628259</v>
      </c>
    </row>
    <row r="4244" spans="1:4">
      <c r="A4244">
        <v>1.023871</v>
      </c>
      <c r="B4244">
        <v>4.5083679999999999</v>
      </c>
      <c r="C4244">
        <f>LOG10(1.023871)</f>
        <v>1.0245242267432411E-2</v>
      </c>
      <c r="D4244">
        <f>LOG10(4.508368)</f>
        <v>0.65401935853786997</v>
      </c>
    </row>
    <row r="4245" spans="1:4">
      <c r="A4245">
        <v>1.0267120000000001</v>
      </c>
      <c r="B4245">
        <v>4.5281039999999999</v>
      </c>
      <c r="C4245">
        <f>LOG10(1.026712)</f>
        <v>1.1448637996874627E-2</v>
      </c>
      <c r="D4245">
        <f>LOG10(4.528104)</f>
        <v>0.65591639302726179</v>
      </c>
    </row>
    <row r="4246" spans="1:4">
      <c r="A4246">
        <v>1.01393</v>
      </c>
      <c r="B4246">
        <v>4.5451309999999996</v>
      </c>
      <c r="C4246">
        <f>LOG10(1.01393)</f>
        <v>6.0079730810327801E-3</v>
      </c>
      <c r="D4246">
        <f>LOG10(4.545131)</f>
        <v>0.65754640499632311</v>
      </c>
    </row>
    <row r="4247" spans="1:4">
      <c r="A4247">
        <v>1.0307249999999999</v>
      </c>
      <c r="B4247">
        <v>4.6812069999999997</v>
      </c>
      <c r="C4247">
        <f>LOG10(1.030725)</f>
        <v>1.3142809887446059E-2</v>
      </c>
      <c r="D4247">
        <f>LOG10(4.681207)</f>
        <v>0.67035784577817636</v>
      </c>
    </row>
    <row r="4248" spans="1:4">
      <c r="A4248">
        <v>1.0340830000000001</v>
      </c>
      <c r="B4248">
        <v>4.370234</v>
      </c>
      <c r="C4248">
        <f>LOG10(1.034083)</f>
        <v>1.4555398521305886E-2</v>
      </c>
      <c r="D4248">
        <f>LOG10(4.370234)</f>
        <v>0.64050469147568789</v>
      </c>
    </row>
    <row r="4249" spans="1:4">
      <c r="A4249">
        <v>1.0297160000000001</v>
      </c>
      <c r="B4249">
        <v>4.3622719999999999</v>
      </c>
      <c r="C4249">
        <f>LOG10(1.029716)</f>
        <v>1.2717460976927997E-2</v>
      </c>
      <c r="D4249">
        <f>LOG10(4.362272)</f>
        <v>0.63971274157651703</v>
      </c>
    </row>
    <row r="4250" spans="1:4">
      <c r="A4250">
        <v>1.024375</v>
      </c>
      <c r="B4250">
        <v>4.4301830000000004</v>
      </c>
      <c r="C4250">
        <f>LOG10(1.024375)</f>
        <v>1.0458970914574314E-2</v>
      </c>
      <c r="D4250">
        <f>LOG10(4.430183)</f>
        <v>0.64642166623406028</v>
      </c>
    </row>
    <row r="4251" spans="1:4">
      <c r="A4251">
        <v>1.0510429999999999</v>
      </c>
      <c r="B4251">
        <v>4.5622400000000001</v>
      </c>
      <c r="C4251">
        <f>LOG10(1.051043)</f>
        <v>2.1620484135483054E-2</v>
      </c>
      <c r="D4251">
        <f>LOG10(4.56224)</f>
        <v>0.65917812792310304</v>
      </c>
    </row>
    <row r="4252" spans="1:4">
      <c r="A4252">
        <v>1.0313110000000001</v>
      </c>
      <c r="B4252">
        <v>4.573226</v>
      </c>
      <c r="C4252">
        <f>LOG10(1.031311)</f>
        <v>1.3389649974861159E-2</v>
      </c>
      <c r="D4252">
        <f>LOG10(4.573226)</f>
        <v>0.66022266390586559</v>
      </c>
    </row>
    <row r="4253" spans="1:4">
      <c r="A4253">
        <v>1.0189790000000001</v>
      </c>
      <c r="B4253">
        <v>4.5014649999999996</v>
      </c>
      <c r="C4253">
        <f>LOG10(1.018979)</f>
        <v>8.1652337825818353E-3</v>
      </c>
      <c r="D4253">
        <f>LOG10(4.501465)</f>
        <v>0.65335387774700959</v>
      </c>
    </row>
    <row r="4254" spans="1:4">
      <c r="A4254">
        <v>1.0370250000000001</v>
      </c>
      <c r="B4254">
        <v>4.3722630000000002</v>
      </c>
      <c r="C4254">
        <f>LOG10(1.037025)</f>
        <v>1.5789226235882872E-2</v>
      </c>
      <c r="D4254">
        <f>LOG10(4.372263)</f>
        <v>0.64070627770891231</v>
      </c>
    </row>
    <row r="4255" spans="1:4">
      <c r="A4255">
        <v>1.0171680000000001</v>
      </c>
      <c r="B4255">
        <v>4.2444790000000001</v>
      </c>
      <c r="C4255">
        <f>LOG10(1.017168)</f>
        <v>7.392688859133004E-3</v>
      </c>
      <c r="D4255">
        <f>LOG10(4.244479)</f>
        <v>0.62782438920625994</v>
      </c>
    </row>
    <row r="4256" spans="1:4">
      <c r="A4256">
        <v>1.015058</v>
      </c>
      <c r="B4256">
        <v>3.857335</v>
      </c>
      <c r="C4256">
        <f>LOG10(1.015058)</f>
        <v>6.4908583677438531E-3</v>
      </c>
      <c r="D4256">
        <f>LOG10(3.857335)</f>
        <v>0.58628735790508513</v>
      </c>
    </row>
    <row r="4257" spans="1:4">
      <c r="A4257">
        <v>1.0167170000000001</v>
      </c>
      <c r="B4257">
        <v>3.8055629999999998</v>
      </c>
      <c r="C4257">
        <f>LOG10(1.016717)</f>
        <v>7.2000852315448017E-3</v>
      </c>
      <c r="D4257">
        <f>LOG10(3.805563)</f>
        <v>0.58041891595705608</v>
      </c>
    </row>
    <row r="4258" spans="1:4">
      <c r="A4258">
        <v>1.019987</v>
      </c>
      <c r="B4258">
        <v>3.7751450000000002</v>
      </c>
      <c r="C4258">
        <f>LOG10(1.019987)</f>
        <v>8.5946366008946441E-3</v>
      </c>
      <c r="D4258">
        <f>LOG10(3.775145)</f>
        <v>0.57693363715474277</v>
      </c>
    </row>
    <row r="4259" spans="1:4">
      <c r="A4259">
        <v>1.019601</v>
      </c>
      <c r="B4259">
        <v>3.8951899999999999</v>
      </c>
      <c r="C4259">
        <f>LOG10(1.019601)</f>
        <v>8.4302527429624702E-3</v>
      </c>
      <c r="D4259">
        <f>LOG10(3.89519)</f>
        <v>0.59052864658856863</v>
      </c>
    </row>
    <row r="4260" spans="1:4">
      <c r="A4260">
        <v>1.0220769999999999</v>
      </c>
      <c r="B4260">
        <v>3.8186070000000001</v>
      </c>
      <c r="C4260">
        <f>LOG10(1.022077)</f>
        <v>9.4836153832519709E-3</v>
      </c>
      <c r="D4260">
        <f>LOG10(3.818607)</f>
        <v>0.58190496433982319</v>
      </c>
    </row>
    <row r="4261" spans="1:4">
      <c r="A4261">
        <v>1.0209239999999999</v>
      </c>
      <c r="B4261">
        <v>3.9744380000000001</v>
      </c>
      <c r="C4261">
        <f>LOG10(1.020924)</f>
        <v>8.993413380611763E-3</v>
      </c>
      <c r="D4261">
        <f>LOG10(3.974438)</f>
        <v>0.59927572651338046</v>
      </c>
    </row>
    <row r="4262" spans="1:4">
      <c r="A4262">
        <v>1.0183979999999999</v>
      </c>
      <c r="B4262">
        <v>3.9287030000000001</v>
      </c>
      <c r="C4262">
        <f>LOG10(1.018398)</f>
        <v>7.9175377490782236E-3</v>
      </c>
      <c r="D4262">
        <f>LOG10(3.928703)</f>
        <v>0.59424919848946212</v>
      </c>
    </row>
    <row r="4263" spans="1:4">
      <c r="A4263">
        <v>1.013209</v>
      </c>
      <c r="B4263">
        <v>3.8739430000000001</v>
      </c>
      <c r="C4263">
        <f>LOG10(1.013209)</f>
        <v>5.6990388297001185E-3</v>
      </c>
      <c r="D4263">
        <f>LOG10(3.873943)</f>
        <v>0.58815322635532108</v>
      </c>
    </row>
    <row r="4264" spans="1:4">
      <c r="A4264">
        <v>1.023282</v>
      </c>
      <c r="B4264">
        <v>3.9399820000000001</v>
      </c>
      <c r="C4264">
        <f>LOG10(1.023282)</f>
        <v>9.9953347549998489E-3</v>
      </c>
      <c r="D4264">
        <f>LOG10(3.939982)</f>
        <v>0.59549423773457644</v>
      </c>
    </row>
    <row r="4265" spans="1:4">
      <c r="A4265">
        <v>1.02522</v>
      </c>
      <c r="B4265">
        <v>4.1082099999999997</v>
      </c>
      <c r="C4265">
        <f>LOG10(1.02522)</f>
        <v>1.081706981508908E-2</v>
      </c>
      <c r="D4265">
        <f>LOG10(4.10821)</f>
        <v>0.61365263539022852</v>
      </c>
    </row>
    <row r="4266" spans="1:4">
      <c r="A4266">
        <v>1.025485</v>
      </c>
      <c r="B4266">
        <v>3.9873020000000001</v>
      </c>
      <c r="C4266">
        <f>LOG10(1.025485)</f>
        <v>1.0929312227669101E-2</v>
      </c>
      <c r="D4266">
        <f>LOG10(3.987302)</f>
        <v>0.60067913056243649</v>
      </c>
    </row>
    <row r="4267" spans="1:4">
      <c r="A4267">
        <v>1.0259780000000001</v>
      </c>
      <c r="B4267">
        <v>4.2525890000000004</v>
      </c>
      <c r="C4267">
        <f>LOG10(1.025978)</f>
        <v>1.1138048318644211E-2</v>
      </c>
      <c r="D4267">
        <f>LOG10(4.252589)</f>
        <v>0.6286534114802379</v>
      </c>
    </row>
    <row r="4268" spans="1:4">
      <c r="A4268">
        <v>1.0253989999999999</v>
      </c>
      <c r="B4268">
        <v>4.3120349999999998</v>
      </c>
      <c r="C4268">
        <f>LOG10(1.025399)</f>
        <v>1.0892889567522955E-2</v>
      </c>
      <c r="D4268">
        <f>LOG10(4.312035)</f>
        <v>0.63468227728192383</v>
      </c>
    </row>
    <row r="4269" spans="1:4">
      <c r="A4269">
        <v>1.0218069999999999</v>
      </c>
      <c r="B4269">
        <v>4.1712590000000001</v>
      </c>
      <c r="C4269">
        <f>LOG10(1.021807)</f>
        <v>9.3688735380239967E-3</v>
      </c>
      <c r="D4269">
        <f>LOG10(4.171259)</f>
        <v>0.62026715670716936</v>
      </c>
    </row>
    <row r="4270" spans="1:4">
      <c r="A4270">
        <v>1.0257700000000001</v>
      </c>
      <c r="B4270">
        <v>4.2806769999999998</v>
      </c>
      <c r="C4270">
        <f>LOG10(1.02577)</f>
        <v>1.1049993399087491E-2</v>
      </c>
      <c r="D4270">
        <f>LOG10(4.280677)</f>
        <v>0.6315124592265422</v>
      </c>
    </row>
    <row r="4271" spans="1:4">
      <c r="A4271">
        <v>1.0226980000000001</v>
      </c>
      <c r="B4271">
        <v>4.2204810000000004</v>
      </c>
      <c r="C4271">
        <f>LOG10(1.022698)</f>
        <v>9.7474066380880964E-3</v>
      </c>
      <c r="D4271">
        <f>LOG10(4.220481)</f>
        <v>0.62536194947864743</v>
      </c>
    </row>
    <row r="4272" spans="1:4">
      <c r="A4272">
        <v>1.0224740000000001</v>
      </c>
      <c r="B4272">
        <v>3.8547099999999999</v>
      </c>
      <c r="C4272">
        <f>LOG10(1.022474)</f>
        <v>9.6522733541048161E-3</v>
      </c>
      <c r="D4272">
        <f>LOG10(3.85471)</f>
        <v>0.58599171049664234</v>
      </c>
    </row>
    <row r="4273" spans="1:4">
      <c r="A4273">
        <v>1.01684</v>
      </c>
      <c r="B4273">
        <v>4.271776</v>
      </c>
      <c r="C4273">
        <f>LOG10(1.01684)</f>
        <v>7.2526219652967331E-3</v>
      </c>
      <c r="D4273">
        <f>LOG10(4.271776)</f>
        <v>0.63060847142815479</v>
      </c>
    </row>
    <row r="4274" spans="1:4">
      <c r="A4274">
        <v>1.013765</v>
      </c>
      <c r="B4274">
        <v>4.3955440000000001</v>
      </c>
      <c r="C4274">
        <f>LOG10(1.013765)</f>
        <v>5.9372932305896036E-3</v>
      </c>
      <c r="D4274">
        <f>LOG10(4.395544)</f>
        <v>0.64301263175969237</v>
      </c>
    </row>
    <row r="4275" spans="1:4">
      <c r="A4275">
        <v>1.0217099999999999</v>
      </c>
      <c r="B4275">
        <v>4.2524870000000004</v>
      </c>
      <c r="C4275">
        <f>LOG10(1.02171)</f>
        <v>9.32764406474214E-3</v>
      </c>
      <c r="D4275">
        <f>LOG10(4.252487)</f>
        <v>0.62864299463336748</v>
      </c>
    </row>
    <row r="4276" spans="1:4">
      <c r="A4276">
        <v>1.0121739999999999</v>
      </c>
      <c r="B4276">
        <v>4.303102</v>
      </c>
      <c r="C4276">
        <f>LOG10(1.012174)</f>
        <v>5.255177270778854E-3</v>
      </c>
      <c r="D4276">
        <f>LOG10(4.303102)</f>
        <v>0.6337816406473088</v>
      </c>
    </row>
    <row r="4277" spans="1:4">
      <c r="A4277">
        <v>1.0084649999999999</v>
      </c>
      <c r="B4277">
        <v>4.1506369999999997</v>
      </c>
      <c r="C4277">
        <f>LOG10(1.008465)</f>
        <v>3.6608300940136687E-3</v>
      </c>
      <c r="D4277">
        <f>LOG10(4.150637)</f>
        <v>0.61811475318328046</v>
      </c>
    </row>
    <row r="4278" spans="1:4">
      <c r="A4278">
        <v>1.0060420000000001</v>
      </c>
      <c r="B4278">
        <v>4.385643</v>
      </c>
      <c r="C4278">
        <f>LOG10(1.006042)</f>
        <v>2.6161119201943027E-3</v>
      </c>
      <c r="D4278">
        <f>LOG10(4.385643)</f>
        <v>0.64203327635192886</v>
      </c>
    </row>
    <row r="4279" spans="1:4">
      <c r="A4279">
        <v>1.007422</v>
      </c>
      <c r="B4279">
        <v>4.7570839999999999</v>
      </c>
      <c r="C4279">
        <f>LOG10(1.007422)</f>
        <v>3.2114307129532467E-3</v>
      </c>
      <c r="D4279">
        <f>LOG10(4.757084)</f>
        <v>0.67734082020577346</v>
      </c>
    </row>
    <row r="4280" spans="1:4">
      <c r="A4280">
        <v>1.0072049999999999</v>
      </c>
      <c r="B4280">
        <v>4.3398760000000003</v>
      </c>
      <c r="C4280">
        <f>LOG10(1.007205)</f>
        <v>3.1178730440274095E-3</v>
      </c>
      <c r="D4280">
        <f>LOG10(4.339876)</f>
        <v>0.63747732092147569</v>
      </c>
    </row>
    <row r="4281" spans="1:4">
      <c r="A4281">
        <v>1.007066</v>
      </c>
      <c r="B4281">
        <v>3.6342569999999998</v>
      </c>
      <c r="C4281">
        <f>LOG10(1.007066)</f>
        <v>3.0579338073702497E-3</v>
      </c>
      <c r="D4281">
        <f>LOG10(3.634257)</f>
        <v>0.56041563561244512</v>
      </c>
    </row>
    <row r="4282" spans="1:4">
      <c r="A4282">
        <v>1.006767</v>
      </c>
      <c r="B4282">
        <v>4.5577379999999996</v>
      </c>
      <c r="C4282">
        <f>LOG10(1.006767)</f>
        <v>2.9289717225863847E-3</v>
      </c>
      <c r="D4282">
        <f>LOG10(4.557738)</f>
        <v>0.65874935629309606</v>
      </c>
    </row>
    <row r="4283" spans="1:4">
      <c r="A4283">
        <v>1.0069650000000001</v>
      </c>
      <c r="B4283">
        <v>4.312284</v>
      </c>
      <c r="C4283">
        <f>LOG10(1.006965)</f>
        <v>3.0143756469358193E-3</v>
      </c>
      <c r="D4283">
        <f>LOG10(4.312284)</f>
        <v>0.63470735504772169</v>
      </c>
    </row>
    <row r="4284" spans="1:4">
      <c r="A4284">
        <v>1.0072890000000001</v>
      </c>
      <c r="B4284">
        <v>4.1952759999999998</v>
      </c>
      <c r="C4284">
        <f>LOG10(1.007289)</f>
        <v>3.1540913067783544E-3</v>
      </c>
      <c r="D4284">
        <f>LOG10(4.195276)</f>
        <v>0.62276053759238381</v>
      </c>
    </row>
    <row r="4285" spans="1:4">
      <c r="A4285">
        <v>1.0063629999999999</v>
      </c>
      <c r="B4285">
        <v>3.992051</v>
      </c>
      <c r="C4285">
        <f>LOG10(1.006363)</f>
        <v>2.7546610987872876E-3</v>
      </c>
      <c r="D4285">
        <f>LOG10(3.992051)</f>
        <v>0.60119608093123911</v>
      </c>
    </row>
    <row r="4286" spans="1:4">
      <c r="A4286">
        <v>1.0079130000000001</v>
      </c>
      <c r="B4286">
        <v>4.1007610000000003</v>
      </c>
      <c r="C4286">
        <f>LOG10(1.007913)</f>
        <v>3.4230467418849522E-3</v>
      </c>
      <c r="D4286">
        <f>LOG10(4.100761)</f>
        <v>0.61286445853258609</v>
      </c>
    </row>
    <row r="4287" spans="1:4">
      <c r="A4287">
        <v>1.0061150000000001</v>
      </c>
      <c r="B4287">
        <v>4.202267</v>
      </c>
      <c r="C4287">
        <f>LOG10(1.006115)</f>
        <v>2.6476238719881661E-3</v>
      </c>
      <c r="D4287">
        <f>LOG10(4.202267)</f>
        <v>0.62348364277312618</v>
      </c>
    </row>
    <row r="4288" spans="1:4">
      <c r="A4288">
        <v>1.0082739999999999</v>
      </c>
      <c r="B4288">
        <v>3.981252</v>
      </c>
      <c r="C4288">
        <f>LOG10(1.008274)</f>
        <v>3.5785683374933153E-3</v>
      </c>
      <c r="D4288">
        <f>LOG10(3.981252)</f>
        <v>0.60001966784928329</v>
      </c>
    </row>
    <row r="4289" spans="1:4">
      <c r="A4289">
        <v>1.0083299999999999</v>
      </c>
      <c r="B4289">
        <v>4.18323</v>
      </c>
      <c r="C4289">
        <f>LOG10(1.00833)</f>
        <v>3.6026885822144977E-3</v>
      </c>
      <c r="D4289">
        <f>LOG10(4.18323)</f>
        <v>0.62151174337212012</v>
      </c>
    </row>
    <row r="4290" spans="1:4">
      <c r="A4290">
        <v>1.010696</v>
      </c>
      <c r="B4290">
        <v>4.3121460000000003</v>
      </c>
      <c r="C4290">
        <f>LOG10(1.010696)</f>
        <v>4.6205469104737855E-3</v>
      </c>
      <c r="D4290">
        <f>LOG10(4.312146)</f>
        <v>0.63469345670580046</v>
      </c>
    </row>
    <row r="4291" spans="1:4">
      <c r="A4291">
        <v>1.0163660000000001</v>
      </c>
      <c r="B4291">
        <v>4.4292119999999997</v>
      </c>
      <c r="C4291">
        <f>LOG10(1.016366)</f>
        <v>7.0501283781723087E-3</v>
      </c>
      <c r="D4291">
        <f>LOG10(4.429212)</f>
        <v>0.64632646787263337</v>
      </c>
    </row>
    <row r="4292" spans="1:4">
      <c r="A4292">
        <v>1.0165679999999999</v>
      </c>
      <c r="B4292">
        <v>4.492489</v>
      </c>
      <c r="C4292">
        <f>LOG10(1.016568)</f>
        <v>7.1364346582906916E-3</v>
      </c>
      <c r="D4292">
        <f>LOG10(4.492489)</f>
        <v>0.65248702239867429</v>
      </c>
    </row>
    <row r="4293" spans="1:4">
      <c r="A4293">
        <v>1.0186459999999999</v>
      </c>
      <c r="B4293">
        <v>4.4326759999999998</v>
      </c>
      <c r="C4293">
        <f>LOG10(1.018646)</f>
        <v>8.0232841463520645E-3</v>
      </c>
      <c r="D4293">
        <f>LOG10(4.432676)</f>
        <v>0.64666598833642919</v>
      </c>
    </row>
    <row r="4294" spans="1:4">
      <c r="A4294">
        <v>1.022721</v>
      </c>
      <c r="B4294">
        <v>4.4866789999999996</v>
      </c>
      <c r="C4294">
        <f>LOG10(1.022721)</f>
        <v>9.7571736081652743E-3</v>
      </c>
      <c r="D4294">
        <f>LOG10(4.486679)</f>
        <v>0.65192499899249656</v>
      </c>
    </row>
    <row r="4295" spans="1:4">
      <c r="A4295">
        <v>1.30531</v>
      </c>
      <c r="B4295">
        <v>4.5521010000000004</v>
      </c>
      <c r="C4295">
        <f>LOG10(1.30531)</f>
        <v>0.11571366516183415</v>
      </c>
      <c r="D4295">
        <f>LOG10(4.552101)</f>
        <v>0.65821188942744846</v>
      </c>
    </row>
    <row r="4296" spans="1:4">
      <c r="A4296">
        <v>1.038721</v>
      </c>
      <c r="B4296">
        <v>4.5331279999999996</v>
      </c>
      <c r="C4296">
        <f>LOG10(1.038721)</f>
        <v>1.6498911915357083E-2</v>
      </c>
      <c r="D4296">
        <f>LOG10(4.533128)</f>
        <v>0.65639798221969481</v>
      </c>
    </row>
    <row r="4297" spans="1:4">
      <c r="A4297">
        <v>1.0165949999999999</v>
      </c>
      <c r="B4297">
        <v>4.2386189999999999</v>
      </c>
      <c r="C4297">
        <f>LOG10(1.016595)</f>
        <v>7.1479693468641864E-3</v>
      </c>
      <c r="D4297">
        <f>LOG10(4.238619)</f>
        <v>0.62722438056112595</v>
      </c>
    </row>
    <row r="4298" spans="1:4">
      <c r="A4298">
        <v>1.019795</v>
      </c>
      <c r="B4298">
        <v>4.3087309999999999</v>
      </c>
      <c r="C4298">
        <f>LOG10(1.019795)</f>
        <v>8.5128783142035432E-3</v>
      </c>
      <c r="D4298">
        <f>LOG10(4.308731)</f>
        <v>0.63434938133312624</v>
      </c>
    </row>
    <row r="4299" spans="1:4">
      <c r="A4299">
        <v>1.0270030000000001</v>
      </c>
      <c r="B4299">
        <v>4.510351</v>
      </c>
      <c r="C4299">
        <f>LOG10(1.027003)</f>
        <v>1.1571712225849585E-2</v>
      </c>
      <c r="D4299">
        <f>LOG10(4.510351)</f>
        <v>0.65421034042154824</v>
      </c>
    </row>
    <row r="4300" spans="1:4">
      <c r="A4300">
        <v>1.0421389999999999</v>
      </c>
      <c r="B4300">
        <v>4.5228359999999999</v>
      </c>
      <c r="C4300">
        <f>LOG10(1.042139)</f>
        <v>1.7925648816623937E-2</v>
      </c>
      <c r="D4300">
        <f>LOG10(4.522836)</f>
        <v>0.65541084032466534</v>
      </c>
    </row>
    <row r="4301" spans="1:4">
      <c r="A4301">
        <v>1.0206839999999999</v>
      </c>
      <c r="B4301">
        <v>4.4148589999999999</v>
      </c>
      <c r="C4301">
        <f>LOG10(1.020684)</f>
        <v>8.891306927133023E-3</v>
      </c>
      <c r="D4301">
        <f>LOG10(4.414859)</f>
        <v>0.64491683781170839</v>
      </c>
    </row>
    <row r="4302" spans="1:4">
      <c r="A4302">
        <v>1.0296890000000001</v>
      </c>
      <c r="B4302">
        <v>4.5400049999999998</v>
      </c>
      <c r="C4302">
        <f>LOG10(1.029689)</f>
        <v>1.2706073269301706E-2</v>
      </c>
      <c r="D4302">
        <f>LOG10(4.540005)</f>
        <v>0.65705633115472806</v>
      </c>
    </row>
    <row r="4303" spans="1:4">
      <c r="A4303">
        <v>1.015801</v>
      </c>
      <c r="B4303">
        <v>4.3959080000000004</v>
      </c>
      <c r="C4303">
        <f>LOG10(1.015801)</f>
        <v>6.8086360317284262E-3</v>
      </c>
      <c r="D4303">
        <f>LOG10(4.395908)</f>
        <v>0.64304859469084485</v>
      </c>
    </row>
    <row r="4304" spans="1:4">
      <c r="A4304">
        <v>1.0175810000000001</v>
      </c>
      <c r="B4304">
        <v>3.9359820000000001</v>
      </c>
      <c r="C4304">
        <f>LOG10(1.017581)</f>
        <v>7.5689893497480091E-3</v>
      </c>
      <c r="D4304">
        <f>LOG10(3.935982)</f>
        <v>0.59505310365194897</v>
      </c>
    </row>
    <row r="4305" spans="1:4">
      <c r="A4305">
        <v>1.0102679999999999</v>
      </c>
      <c r="B4305">
        <v>3.841669</v>
      </c>
      <c r="C4305">
        <f>LOG10(1.010268)</f>
        <v>4.4365970320656978E-3</v>
      </c>
      <c r="D4305">
        <f>LOG10(3.841669)</f>
        <v>0.58451994312167188</v>
      </c>
    </row>
    <row r="4306" spans="1:4">
      <c r="A4306">
        <v>1.015714</v>
      </c>
      <c r="B4306">
        <v>3.698645</v>
      </c>
      <c r="C4306">
        <f>LOG10(1.015714)</f>
        <v>6.7714385510810673E-3</v>
      </c>
      <c r="D4306">
        <f>LOG10(3.698645)</f>
        <v>0.56804264925544279</v>
      </c>
    </row>
    <row r="4307" spans="1:4">
      <c r="A4307">
        <v>1.0084029999999999</v>
      </c>
      <c r="B4307">
        <v>3.8416450000000002</v>
      </c>
      <c r="C4307">
        <f>LOG10(1.008403)</f>
        <v>3.6341290328768109E-3</v>
      </c>
      <c r="D4307">
        <f>LOG10(3.841645)</f>
        <v>0.58451722995192101</v>
      </c>
    </row>
    <row r="4308" spans="1:4">
      <c r="A4308">
        <v>1.0079199999999999</v>
      </c>
      <c r="B4308">
        <v>3.8256039999999998</v>
      </c>
      <c r="C4308">
        <f>LOG10(1.00792)</f>
        <v>3.4260629256395369E-3</v>
      </c>
      <c r="D4308">
        <f>LOG10(3.825604)</f>
        <v>0.58270001286439599</v>
      </c>
    </row>
    <row r="4309" spans="1:4">
      <c r="A4309">
        <v>1.0071319999999999</v>
      </c>
      <c r="B4309">
        <v>3.9199169999999999</v>
      </c>
      <c r="C4309">
        <f>LOG10(1.007132)</f>
        <v>3.0863951957896896E-3</v>
      </c>
      <c r="D4309">
        <f>LOG10(3.919917)</f>
        <v>0.59327687140218743</v>
      </c>
    </row>
    <row r="4310" spans="1:4">
      <c r="A4310">
        <v>1.0091680000000001</v>
      </c>
      <c r="B4310">
        <v>3.9056660000000001</v>
      </c>
      <c r="C4310">
        <f>LOG10(1.009168)</f>
        <v>3.9634708945290196E-3</v>
      </c>
      <c r="D4310">
        <f>LOG10(3.905666)</f>
        <v>0.59169510107188938</v>
      </c>
    </row>
    <row r="4311" spans="1:4">
      <c r="A4311">
        <v>1.006499</v>
      </c>
      <c r="B4311">
        <v>3.9988779999999999</v>
      </c>
      <c r="C4311">
        <f>LOG10(1.006499)</f>
        <v>2.813347734660764E-3</v>
      </c>
      <c r="D4311">
        <f>LOG10(3.998878)</f>
        <v>0.60193815463739375</v>
      </c>
    </row>
    <row r="4312" spans="1:4">
      <c r="A4312">
        <v>1.0047740000000001</v>
      </c>
      <c r="B4312">
        <v>3.9067569999999998</v>
      </c>
      <c r="C4312">
        <f>LOG10(1.004774)</f>
        <v>2.0683885322308982E-3</v>
      </c>
      <c r="D4312">
        <f>LOG10(3.906757)</f>
        <v>0.59181639897980765</v>
      </c>
    </row>
    <row r="4313" spans="1:4">
      <c r="A4313">
        <v>1.007369</v>
      </c>
      <c r="B4313">
        <v>3.9800390000000001</v>
      </c>
      <c r="C4313">
        <f>LOG10(1.007369)</f>
        <v>3.1885820824538885E-3</v>
      </c>
      <c r="D4313">
        <f>LOG10(3.980039)</f>
        <v>0.59988732770228326</v>
      </c>
    </row>
    <row r="4314" spans="1:4">
      <c r="A4314">
        <v>1.0168269999999999</v>
      </c>
      <c r="B4314">
        <v>4.0709960000000001</v>
      </c>
      <c r="C4314">
        <f>LOG10(1.016827)</f>
        <v>7.2470696027272102E-3</v>
      </c>
      <c r="D4314">
        <f>LOG10(4.070996)</f>
        <v>0.60970067565899144</v>
      </c>
    </row>
    <row r="4315" spans="1:4">
      <c r="A4315">
        <v>1.0119800000000001</v>
      </c>
      <c r="B4315">
        <v>4.005941</v>
      </c>
      <c r="C4315">
        <f>LOG10(1.01198)</f>
        <v>5.1719295240687481E-3</v>
      </c>
      <c r="D4315">
        <f>LOG10(4.005941)</f>
        <v>0.60270454866122103</v>
      </c>
    </row>
    <row r="4316" spans="1:4">
      <c r="A4316">
        <v>1.0135149999999999</v>
      </c>
      <c r="B4316">
        <v>4.3682679999999996</v>
      </c>
      <c r="C4316">
        <f>LOG10(1.013515)</f>
        <v>5.8301806254968478E-3</v>
      </c>
      <c r="D4316">
        <f>LOG10(4.368268)</f>
        <v>0.64030927515242608</v>
      </c>
    </row>
    <row r="4317" spans="1:4">
      <c r="A4317">
        <v>1.0148079999999999</v>
      </c>
      <c r="B4317">
        <v>4.1508240000000001</v>
      </c>
      <c r="C4317">
        <f>LOG10(1.014808)</f>
        <v>6.3838822215107338E-3</v>
      </c>
      <c r="D4317">
        <f>LOG10(4.150824)</f>
        <v>0.61813431915320549</v>
      </c>
    </row>
    <row r="4318" spans="1:4">
      <c r="A4318">
        <v>1.0154570000000001</v>
      </c>
      <c r="B4318">
        <v>4.4719150000000001</v>
      </c>
      <c r="C4318">
        <f>LOG10(1.015457)</f>
        <v>6.6615377279157758E-3</v>
      </c>
      <c r="D4318">
        <f>LOG10(4.471915)</f>
        <v>0.65049354009710769</v>
      </c>
    </row>
    <row r="4319" spans="1:4">
      <c r="A4319">
        <v>1.0079979999999999</v>
      </c>
      <c r="B4319">
        <v>4.2160570000000002</v>
      </c>
      <c r="C4319">
        <f>LOG10(1.007998)</f>
        <v>3.4596704132510052E-3</v>
      </c>
      <c r="D4319">
        <f>LOG10(4.216057)</f>
        <v>0.62490647379323039</v>
      </c>
    </row>
    <row r="4320" spans="1:4">
      <c r="A4320">
        <v>1.0080180000000001</v>
      </c>
      <c r="B4320">
        <v>4.1401870000000001</v>
      </c>
      <c r="C4320">
        <f>LOG10(1.008018)</f>
        <v>3.4682872988693802E-3</v>
      </c>
      <c r="D4320">
        <f>LOG10(4.140187)</f>
        <v>0.61701995736099835</v>
      </c>
    </row>
    <row r="4321" spans="1:4">
      <c r="A4321">
        <v>1.024643</v>
      </c>
      <c r="B4321">
        <v>4.0732799999999996</v>
      </c>
      <c r="C4321">
        <f>LOG10(1.024643)</f>
        <v>1.0572577453720138E-2</v>
      </c>
      <c r="D4321">
        <f>LOG10(4.07328)</f>
        <v>0.60994426480618424</v>
      </c>
    </row>
    <row r="4322" spans="1:4">
      <c r="A4322">
        <v>1.025631</v>
      </c>
      <c r="B4322">
        <v>4.2836959999999999</v>
      </c>
      <c r="C4322">
        <f>LOG10(1.025631)</f>
        <v>1.0991139052153872E-2</v>
      </c>
      <c r="D4322">
        <f>LOG10(4.283696)</f>
        <v>0.63181864278374444</v>
      </c>
    </row>
    <row r="4323" spans="1:4">
      <c r="A4323">
        <v>1.0201009999999999</v>
      </c>
      <c r="B4323">
        <v>4.3739280000000003</v>
      </c>
      <c r="C4323">
        <f>LOG10(1.020101)</f>
        <v>8.6431733022413314E-3</v>
      </c>
      <c r="D4323">
        <f>LOG10(4.373928)</f>
        <v>0.64087162976241852</v>
      </c>
    </row>
    <row r="4324" spans="1:4">
      <c r="A4324">
        <v>1.0255989999999999</v>
      </c>
      <c r="B4324">
        <v>4.5241160000000002</v>
      </c>
      <c r="C4324">
        <f>LOG10(1.025599)</f>
        <v>1.0977588720477712E-2</v>
      </c>
      <c r="D4324">
        <f>LOG10(4.524116)</f>
        <v>0.65553373186660024</v>
      </c>
    </row>
    <row r="4325" spans="1:4">
      <c r="A4325">
        <v>1.024635</v>
      </c>
      <c r="B4325">
        <v>4.331664</v>
      </c>
      <c r="C4325">
        <f>LOG10(1.024635)</f>
        <v>1.056918664402497E-2</v>
      </c>
      <c r="D4325">
        <f>LOG10(4.331664)</f>
        <v>0.63665476175631286</v>
      </c>
    </row>
    <row r="4326" spans="1:4">
      <c r="A4326">
        <v>1.0258419999999999</v>
      </c>
      <c r="B4326">
        <v>4.270696</v>
      </c>
      <c r="C4326">
        <f>LOG10(1.025842)</f>
        <v>1.1080475968608245E-2</v>
      </c>
      <c r="D4326">
        <f>LOG10(4.270696)</f>
        <v>0.63049865823989859</v>
      </c>
    </row>
    <row r="4327" spans="1:4">
      <c r="A4327">
        <v>1.0257540000000001</v>
      </c>
      <c r="B4327">
        <v>4.1320819999999996</v>
      </c>
      <c r="C4327">
        <f>LOG10(1.025754)</f>
        <v>1.1043219204185946E-2</v>
      </c>
      <c r="D4327">
        <f>LOG10(4.132082)</f>
        <v>0.61616893138440698</v>
      </c>
    </row>
    <row r="4328" spans="1:4">
      <c r="A4328">
        <v>1.0268029999999999</v>
      </c>
      <c r="B4328">
        <v>4.2291930000000004</v>
      </c>
      <c r="C4328">
        <f>LOG10(1.026803)</f>
        <v>1.1487128875080042E-2</v>
      </c>
      <c r="D4328">
        <f>LOG10(4.229193)</f>
        <v>0.62625750470765573</v>
      </c>
    </row>
    <row r="4329" spans="1:4">
      <c r="A4329">
        <v>1.0251999999999999</v>
      </c>
      <c r="B4329">
        <v>3.520308</v>
      </c>
      <c r="C4329">
        <f>LOG10(1.0252)</f>
        <v>1.0808597512206357E-2</v>
      </c>
      <c r="D4329">
        <f>LOG10(3.520308)</f>
        <v>0.54658066258286098</v>
      </c>
    </row>
    <row r="4330" spans="1:4">
      <c r="A4330">
        <v>1.02478</v>
      </c>
      <c r="B4330">
        <v>4.4674500000000004</v>
      </c>
      <c r="C4330">
        <f>LOG10(1.02478)</f>
        <v>1.0630640961458066E-2</v>
      </c>
      <c r="D4330">
        <f>LOG10(4.46745)</f>
        <v>0.65005970055191553</v>
      </c>
    </row>
    <row r="4331" spans="1:4">
      <c r="A4331">
        <v>1.0259</v>
      </c>
      <c r="B4331">
        <v>4.4593150000000001</v>
      </c>
      <c r="C4331">
        <f>LOG10(1.0259)</f>
        <v>1.1105029815980038E-2</v>
      </c>
      <c r="D4331">
        <f>LOG10(4.459315)</f>
        <v>0.64926815140991323</v>
      </c>
    </row>
    <row r="4332" spans="1:4">
      <c r="A4332">
        <v>1.035391</v>
      </c>
      <c r="B4332">
        <v>4.2579000000000002</v>
      </c>
      <c r="C4332">
        <f>LOG10(1.035391)</f>
        <v>1.5104385614617515E-2</v>
      </c>
      <c r="D4332">
        <f>LOG10(4.2579)</f>
        <v>0.62919545748789019</v>
      </c>
    </row>
    <row r="4333" spans="1:4">
      <c r="A4333">
        <v>1.026316</v>
      </c>
      <c r="B4333">
        <v>4.1152430000000004</v>
      </c>
      <c r="C4333">
        <f>LOG10(1.026316)</f>
        <v>1.1281099495727484E-2</v>
      </c>
      <c r="D4333">
        <f>LOG10(4.115243)</f>
        <v>0.6143954848564851</v>
      </c>
    </row>
    <row r="4334" spans="1:4">
      <c r="A4334">
        <v>1.0238320000000001</v>
      </c>
      <c r="B4334">
        <v>4.1178020000000002</v>
      </c>
      <c r="C4334">
        <f>LOG10(1.023832)</f>
        <v>1.0228699355890814E-2</v>
      </c>
      <c r="D4334">
        <f>LOG10(4.117802)</f>
        <v>0.61466546020946311</v>
      </c>
    </row>
    <row r="4335" spans="1:4">
      <c r="A4335">
        <v>1.0155989999999999</v>
      </c>
      <c r="B4335">
        <v>4.6153269999999997</v>
      </c>
      <c r="C4335">
        <f>LOG10(1.015599)</f>
        <v>6.7222645779195997E-3</v>
      </c>
      <c r="D4335">
        <f>LOG10(4.615327)</f>
        <v>0.66420247660018528</v>
      </c>
    </row>
    <row r="4336" spans="1:4">
      <c r="A4336">
        <v>1.018103</v>
      </c>
      <c r="B4336">
        <v>4.1939299999999999</v>
      </c>
      <c r="C4336">
        <f>LOG10(1.018103)</f>
        <v>7.7917171645977461E-3</v>
      </c>
      <c r="D4336">
        <f>LOG10(4.19393)</f>
        <v>0.62262117747233003</v>
      </c>
    </row>
    <row r="4337" spans="1:4">
      <c r="A4337">
        <v>1.0147269999999999</v>
      </c>
      <c r="B4337">
        <v>3.9420410000000001</v>
      </c>
      <c r="C4337">
        <f>LOG10(1.014727)</f>
        <v>6.349216297490857E-3</v>
      </c>
      <c r="D4337">
        <f>LOG10(3.942041)</f>
        <v>0.59572113693509354</v>
      </c>
    </row>
    <row r="4338" spans="1:4">
      <c r="A4338">
        <v>1.021487</v>
      </c>
      <c r="B4338">
        <v>4.1762139999999999</v>
      </c>
      <c r="C4338">
        <f>LOG10(1.021487)</f>
        <v>9.2328439354849821E-3</v>
      </c>
      <c r="D4338">
        <f>LOG10(4.176214)</f>
        <v>0.6207827449362241</v>
      </c>
    </row>
    <row r="4339" spans="1:4">
      <c r="A4339">
        <v>1.0197210000000001</v>
      </c>
      <c r="B4339">
        <v>3.8179530000000002</v>
      </c>
      <c r="C4339">
        <f>LOG10(1.019721)</f>
        <v>8.4813631981908184E-3</v>
      </c>
      <c r="D4339">
        <f>LOG10(3.817953)</f>
        <v>0.58183057781189462</v>
      </c>
    </row>
    <row r="4340" spans="1:4">
      <c r="A4340">
        <v>1.0251840000000001</v>
      </c>
      <c r="B4340">
        <v>3.8709579999999999</v>
      </c>
      <c r="C4340">
        <f>LOG10(1.025184)</f>
        <v>1.0801819550897155E-2</v>
      </c>
      <c r="D4340">
        <f>LOG10(3.870958)</f>
        <v>0.58781845923753073</v>
      </c>
    </row>
    <row r="4341" spans="1:4">
      <c r="A4341">
        <v>1.021814</v>
      </c>
      <c r="B4341">
        <v>3.9256760000000002</v>
      </c>
      <c r="C4341">
        <f>LOG10(1.021814)</f>
        <v>9.3718487094216034E-3</v>
      </c>
      <c r="D4341">
        <f>LOG10(3.925676)</f>
        <v>0.59391445287512257</v>
      </c>
    </row>
    <row r="4342" spans="1:4">
      <c r="A4342">
        <v>1.022627</v>
      </c>
      <c r="B4342">
        <v>3.812122</v>
      </c>
      <c r="C4342">
        <f>LOG10(1.022627)</f>
        <v>9.7172550404421645E-3</v>
      </c>
      <c r="D4342">
        <f>LOG10(3.812122)</f>
        <v>0.58116679099014934</v>
      </c>
    </row>
    <row r="4343" spans="1:4">
      <c r="A4343">
        <v>1.0246170000000001</v>
      </c>
      <c r="B4343">
        <v>3.6506280000000002</v>
      </c>
      <c r="C4343">
        <f>LOG10(1.024617)</f>
        <v>1.0561557225413305E-2</v>
      </c>
      <c r="D4343">
        <f>LOG10(3.650628)</f>
        <v>0.56236758047687951</v>
      </c>
    </row>
    <row r="4344" spans="1:4">
      <c r="A4344">
        <v>1.026683</v>
      </c>
      <c r="B4344">
        <v>3.683805</v>
      </c>
      <c r="C4344">
        <f>LOG10(1.026683)</f>
        <v>1.1436370956216541E-2</v>
      </c>
      <c r="D4344">
        <f>LOG10(3.683805)</f>
        <v>0.56629663301629596</v>
      </c>
    </row>
    <row r="4345" spans="1:4">
      <c r="A4345">
        <v>1.0218590000000001</v>
      </c>
      <c r="B4345">
        <v>3.9211369999999999</v>
      </c>
      <c r="C4345">
        <f>LOG10(1.021859)</f>
        <v>9.390974324614285E-3</v>
      </c>
      <c r="D4345">
        <f>LOG10(3.921137)</f>
        <v>0.59341201631311336</v>
      </c>
    </row>
    <row r="4346" spans="1:4">
      <c r="A4346">
        <v>1.0242610000000001</v>
      </c>
      <c r="B4346">
        <v>3.7784149999999999</v>
      </c>
      <c r="C4346">
        <f>LOG10(1.024261)</f>
        <v>1.0410636734184971E-2</v>
      </c>
      <c r="D4346">
        <f>LOG10(3.778415)</f>
        <v>0.57730965668580891</v>
      </c>
    </row>
    <row r="4347" spans="1:4">
      <c r="A4347">
        <v>1.02182</v>
      </c>
      <c r="B4347">
        <v>3.6952950000000002</v>
      </c>
      <c r="C4347">
        <f>LOG10(1.02182)</f>
        <v>9.3743988401117431E-3</v>
      </c>
      <c r="D4347">
        <f>LOG10(3.695295)</f>
        <v>0.56764911438393273</v>
      </c>
    </row>
    <row r="4348" spans="1:4">
      <c r="A4348">
        <v>1.028521</v>
      </c>
      <c r="B4348">
        <v>3.8926940000000001</v>
      </c>
      <c r="C4348">
        <f>LOG10(1.028521)</f>
        <v>1.2213163401683892E-2</v>
      </c>
      <c r="D4348">
        <f>LOG10(3.892694)</f>
        <v>0.5902502656923081</v>
      </c>
    </row>
    <row r="4349" spans="1:4">
      <c r="A4349">
        <v>1.0264610000000001</v>
      </c>
      <c r="B4349">
        <v>3.68092</v>
      </c>
      <c r="C4349">
        <f>LOG10(1.026461)</f>
        <v>1.1342453164421874E-2</v>
      </c>
      <c r="D4349">
        <f>LOG10(3.68092)</f>
        <v>0.5659563787245524</v>
      </c>
    </row>
    <row r="4350" spans="1:4">
      <c r="A4350">
        <v>1.0215190000000001</v>
      </c>
      <c r="B4350">
        <v>3.8113459999999999</v>
      </c>
      <c r="C4350">
        <f>LOG10(1.021519)</f>
        <v>9.2464488132210764E-3</v>
      </c>
      <c r="D4350">
        <f>LOG10(3.811346)</f>
        <v>0.58107837649975702</v>
      </c>
    </row>
    <row r="4351" spans="1:4">
      <c r="A4351">
        <v>1.0294970000000001</v>
      </c>
      <c r="B4351">
        <v>3.5812170000000001</v>
      </c>
      <c r="C4351">
        <f>LOG10(1.029497)</f>
        <v>1.2625085402477578E-2</v>
      </c>
      <c r="D4351">
        <f>LOG10(3.581217)</f>
        <v>0.55403063741717296</v>
      </c>
    </row>
    <row r="4352" spans="1:4">
      <c r="A4352">
        <v>1.0385960000000001</v>
      </c>
      <c r="B4352">
        <v>3.777323</v>
      </c>
      <c r="C4352">
        <f>LOG10(1.038596)</f>
        <v>1.6446645640827581E-2</v>
      </c>
      <c r="D4352">
        <f>LOG10(3.777323)</f>
        <v>0.57718412306419831</v>
      </c>
    </row>
    <row r="4353" spans="1:4">
      <c r="A4353">
        <v>1.035785</v>
      </c>
      <c r="B4353">
        <v>3.8258220000000001</v>
      </c>
      <c r="C4353">
        <f>LOG10(1.035785)</f>
        <v>1.5269617374674527E-2</v>
      </c>
      <c r="D4353">
        <f>LOG10(3.825822)</f>
        <v>0.58272476019831276</v>
      </c>
    </row>
    <row r="4354" spans="1:4">
      <c r="A4354">
        <v>1.034508</v>
      </c>
      <c r="B4354">
        <v>3.7591540000000001</v>
      </c>
      <c r="C4354">
        <f>LOG10(1.034508)</f>
        <v>1.4733853476786104E-2</v>
      </c>
      <c r="D4354">
        <f>LOG10(3.759154)</f>
        <v>0.57509011767450446</v>
      </c>
    </row>
    <row r="4355" spans="1:4">
      <c r="A4355">
        <v>1.030915</v>
      </c>
      <c r="B4355">
        <v>3.9223599999999998</v>
      </c>
      <c r="C4355">
        <f>LOG10(1.030915)</f>
        <v>1.3222858733796819E-2</v>
      </c>
      <c r="D4355">
        <f>LOG10(3.92236)</f>
        <v>0.59354745135074316</v>
      </c>
    </row>
    <row r="4356" spans="1:4">
      <c r="A4356">
        <v>1.0232049999999999</v>
      </c>
      <c r="B4356">
        <v>3.7813330000000001</v>
      </c>
      <c r="C4356">
        <f>LOG10(1.023205)</f>
        <v>9.9626537019343996E-3</v>
      </c>
      <c r="D4356">
        <f>LOG10(3.781333)</f>
        <v>0.57764492483525798</v>
      </c>
    </row>
    <row r="4357" spans="1:4">
      <c r="A4357">
        <v>1.014729</v>
      </c>
      <c r="B4357">
        <v>3.7721369999999999</v>
      </c>
      <c r="C4357">
        <f>LOG10(1.014729)</f>
        <v>6.3500722795509085E-3</v>
      </c>
      <c r="D4357">
        <f>LOG10(3.772137)</f>
        <v>0.57658745746495921</v>
      </c>
    </row>
    <row r="4358" spans="1:4">
      <c r="A4358">
        <v>1.0177050000000001</v>
      </c>
      <c r="B4358">
        <v>3.807372</v>
      </c>
      <c r="C4358">
        <f>LOG10(1.017705)</f>
        <v>7.6219082179784592E-3</v>
      </c>
      <c r="D4358">
        <f>LOG10(3.807372)</f>
        <v>0.58062531171179443</v>
      </c>
    </row>
    <row r="4359" spans="1:4">
      <c r="A4359">
        <v>1.034354</v>
      </c>
      <c r="B4359">
        <v>4.0978750000000002</v>
      </c>
      <c r="C4359">
        <f>LOG10(1.034354)</f>
        <v>1.4669198269878517E-2</v>
      </c>
      <c r="D4359">
        <f>LOG10(4.097875)</f>
        <v>0.61255870671568835</v>
      </c>
    </row>
    <row r="4360" spans="1:4">
      <c r="A4360">
        <v>1.042028</v>
      </c>
      <c r="B4360">
        <v>3.9584510000000002</v>
      </c>
      <c r="C4360">
        <f>LOG10(1.042028)</f>
        <v>1.7879388907953635E-2</v>
      </c>
      <c r="D4360">
        <f>LOG10(3.958451)</f>
        <v>0.59752527336027728</v>
      </c>
    </row>
    <row r="4361" spans="1:4">
      <c r="A4361">
        <v>1.03874</v>
      </c>
      <c r="B4361">
        <v>4.0489839999999999</v>
      </c>
      <c r="C4361">
        <f>LOG10(1.03874)</f>
        <v>1.6506855838401981E-2</v>
      </c>
      <c r="D4361">
        <f>LOG10(4.048984)</f>
        <v>0.60734606060999408</v>
      </c>
    </row>
    <row r="4362" spans="1:4">
      <c r="A4362">
        <v>1.03922</v>
      </c>
      <c r="B4362">
        <v>3.9828030000000001</v>
      </c>
      <c r="C4362">
        <f>LOG10(1.03922)</f>
        <v>1.6707496230922859E-2</v>
      </c>
      <c r="D4362">
        <f>LOG10(3.982803)</f>
        <v>0.6001888255836153</v>
      </c>
    </row>
    <row r="4363" spans="1:4">
      <c r="A4363">
        <v>1.0157400000000001</v>
      </c>
      <c r="B4363">
        <v>3.955924</v>
      </c>
      <c r="C4363">
        <f>LOG10(1.01574)</f>
        <v>6.7825553733474216E-3</v>
      </c>
      <c r="D4363">
        <f>LOG10(3.955924)</f>
        <v>0.59724793947274624</v>
      </c>
    </row>
    <row r="4364" spans="1:4">
      <c r="A4364">
        <v>1.0246740000000001</v>
      </c>
      <c r="B4364">
        <v>4.1537579999999998</v>
      </c>
      <c r="C4364">
        <f>LOG10(1.024674)</f>
        <v>1.0585716591237738E-2</v>
      </c>
      <c r="D4364">
        <f>LOG10(4.153758)</f>
        <v>0.61844119072432613</v>
      </c>
    </row>
    <row r="4365" spans="1:4">
      <c r="A4365">
        <v>1.026435</v>
      </c>
      <c r="B4365">
        <v>4.1739800000000002</v>
      </c>
      <c r="C4365">
        <f>LOG10(1.026435)</f>
        <v>1.1331452454663441E-2</v>
      </c>
      <c r="D4365">
        <f>LOG10(4.17398)</f>
        <v>0.62055036377341044</v>
      </c>
    </row>
    <row r="4366" spans="1:4">
      <c r="A4366">
        <v>1.0278320000000001</v>
      </c>
      <c r="B4366">
        <v>4.0841139999999996</v>
      </c>
      <c r="C4366">
        <f>LOG10(1.027832)</f>
        <v>1.1922134663691021E-2</v>
      </c>
      <c r="D4366">
        <f>LOG10(4.084114)</f>
        <v>0.61109785605932643</v>
      </c>
    </row>
    <row r="4367" spans="1:4">
      <c r="A4367">
        <v>1.0370740000000001</v>
      </c>
      <c r="B4367">
        <v>4.3434249999999999</v>
      </c>
      <c r="C4367">
        <f>LOG10(1.037074)</f>
        <v>1.580974640354816E-2</v>
      </c>
      <c r="D4367">
        <f>LOG10(4.343425)</f>
        <v>0.63783232674290202</v>
      </c>
    </row>
    <row r="4368" spans="1:4">
      <c r="A4368">
        <v>1.0321290000000001</v>
      </c>
      <c r="B4368">
        <v>4.1899389999999999</v>
      </c>
      <c r="C4368">
        <f>LOG10(1.032129)</f>
        <v>1.3733980708787565E-2</v>
      </c>
      <c r="D4368">
        <f>LOG10(4.189939)</f>
        <v>0.62220770025597572</v>
      </c>
    </row>
    <row r="4369" spans="1:4">
      <c r="A4369">
        <v>1.0347</v>
      </c>
      <c r="B4369">
        <v>3.8730009999999999</v>
      </c>
      <c r="C4369">
        <f>LOG10(1.0347)</f>
        <v>1.4814449087053143E-2</v>
      </c>
      <c r="D4369">
        <f>LOG10(3.873001)</f>
        <v>0.58804760911993914</v>
      </c>
    </row>
    <row r="4370" spans="1:4">
      <c r="A4370">
        <v>1.013244</v>
      </c>
      <c r="B4370">
        <v>4.184723</v>
      </c>
      <c r="C4370">
        <f>LOG10(1.013244)</f>
        <v>5.714040714143654E-3</v>
      </c>
      <c r="D4370">
        <f>LOG10(4.184723)</f>
        <v>0.62166671596060419</v>
      </c>
    </row>
    <row r="4371" spans="1:4">
      <c r="A4371">
        <v>1.0149459999999999</v>
      </c>
      <c r="B4371">
        <v>4.3550769999999996</v>
      </c>
      <c r="C4371">
        <f>LOG10(1.014946)</f>
        <v>6.4429363123956205E-3</v>
      </c>
      <c r="D4371">
        <f>LOG10(4.355077)</f>
        <v>0.6389958379612436</v>
      </c>
    </row>
    <row r="4372" spans="1:4">
      <c r="A4372">
        <v>1.0062530000000001</v>
      </c>
      <c r="B4372">
        <v>4.462059</v>
      </c>
      <c r="C4372">
        <f>LOG10(1.006253)</f>
        <v>2.7071881649967846E-3</v>
      </c>
      <c r="D4372">
        <f>LOG10(4.462059)</f>
        <v>0.64953530848592467</v>
      </c>
    </row>
    <row r="4373" spans="1:4">
      <c r="A4373">
        <v>1.0063580000000001</v>
      </c>
      <c r="B4373">
        <v>4.5685159999999998</v>
      </c>
      <c r="C4373">
        <f>LOG10(1.006358)</f>
        <v>2.7525033507343399E-3</v>
      </c>
      <c r="D4373">
        <f>LOG10(4.568516)</f>
        <v>0.65977515025020561</v>
      </c>
    </row>
    <row r="4374" spans="1:4">
      <c r="A4374">
        <v>1.0119400000000001</v>
      </c>
      <c r="B4374">
        <v>4.252669</v>
      </c>
      <c r="C4374">
        <f>LOG10(1.01194)</f>
        <v>5.1547630557514145E-3</v>
      </c>
      <c r="D4374">
        <f>LOG10(4.252669)</f>
        <v>0.62866158138138684</v>
      </c>
    </row>
    <row r="4375" spans="1:4">
      <c r="A4375">
        <v>1.018186</v>
      </c>
      <c r="B4375">
        <v>4.1415350000000002</v>
      </c>
      <c r="C4375">
        <f>LOG10(1.018186)</f>
        <v>7.8271212177728668E-3</v>
      </c>
      <c r="D4375">
        <f>LOG10(4.141535)</f>
        <v>0.61716133592134492</v>
      </c>
    </row>
    <row r="4376" spans="1:4">
      <c r="A4376">
        <v>1.0135149999999999</v>
      </c>
      <c r="B4376">
        <v>4.316764</v>
      </c>
      <c r="C4376">
        <f>LOG10(1.013515)</f>
        <v>5.8301806254968478E-3</v>
      </c>
      <c r="D4376">
        <f>LOG10(4.316764)</f>
        <v>0.63515830617320812</v>
      </c>
    </row>
    <row r="4377" spans="1:4">
      <c r="A4377">
        <v>1.006985</v>
      </c>
      <c r="B4377">
        <v>4.027018</v>
      </c>
      <c r="C4377">
        <f>LOG10(1.006985)</f>
        <v>3.0230013721408255E-3</v>
      </c>
      <c r="D4377">
        <f>LOG10(4.027018)</f>
        <v>0.60498357082501375</v>
      </c>
    </row>
    <row r="4378" spans="1:4">
      <c r="A4378">
        <v>1.009639</v>
      </c>
      <c r="B4378">
        <v>3.7420070000000001</v>
      </c>
      <c r="C4378">
        <f>LOG10(1.009639)</f>
        <v>4.1661180070937864E-3</v>
      </c>
      <c r="D4378">
        <f>LOG10(3.742007)</f>
        <v>0.57310459557941862</v>
      </c>
    </row>
    <row r="4379" spans="1:4">
      <c r="A4379">
        <v>1.014402</v>
      </c>
      <c r="B4379">
        <v>4.4530649999999996</v>
      </c>
      <c r="C4379">
        <f>LOG10(1.014402)</f>
        <v>6.2100967956499392E-3</v>
      </c>
      <c r="D4379">
        <f>LOG10(4.453065)</f>
        <v>0.64865903443849815</v>
      </c>
    </row>
    <row r="4380" spans="1:4">
      <c r="A4380">
        <v>1.011253</v>
      </c>
      <c r="B4380">
        <v>4.3678280000000003</v>
      </c>
      <c r="C4380">
        <f>LOG10(1.011253)</f>
        <v>4.8598230074863077E-3</v>
      </c>
      <c r="D4380">
        <f>LOG10(4.367828)</f>
        <v>0.64026552802048098</v>
      </c>
    </row>
    <row r="4381" spans="1:4">
      <c r="A4381">
        <v>1.007007</v>
      </c>
      <c r="B4381">
        <v>4.1803379999999999</v>
      </c>
      <c r="C4381">
        <f>LOG10(1.007007)</f>
        <v>3.0324894719964725E-3</v>
      </c>
      <c r="D4381">
        <f>LOG10(4.180338)</f>
        <v>0.62121139794736302</v>
      </c>
    </row>
    <row r="4382" spans="1:4">
      <c r="A4382">
        <v>1.0062469999999999</v>
      </c>
      <c r="B4382">
        <v>4.0456070000000004</v>
      </c>
      <c r="C4382">
        <f>LOG10(1.006247)</f>
        <v>2.7045985829928071E-3</v>
      </c>
      <c r="D4382">
        <f>LOG10(4.045607)</f>
        <v>0.60698369207266478</v>
      </c>
    </row>
    <row r="4383" spans="1:4">
      <c r="A4383">
        <v>1.0079549999999999</v>
      </c>
      <c r="B4383">
        <v>4.379759</v>
      </c>
      <c r="C4383">
        <f>LOG10(1.007955)</f>
        <v>3.4411435302089117E-3</v>
      </c>
      <c r="D4383">
        <f>LOG10(4.379759)</f>
        <v>0.64145021373475575</v>
      </c>
    </row>
    <row r="4384" spans="1:4">
      <c r="A4384">
        <v>1.0073300000000001</v>
      </c>
      <c r="B4384">
        <v>4.5711570000000004</v>
      </c>
      <c r="C4384">
        <f>LOG10(1.00733)</f>
        <v>3.1717681714961729E-3</v>
      </c>
      <c r="D4384">
        <f>LOG10(4.571157)</f>
        <v>0.66002613773271834</v>
      </c>
    </row>
    <row r="4385" spans="1:4">
      <c r="A4385">
        <v>1.0094799999999999</v>
      </c>
      <c r="B4385">
        <v>4.1628360000000004</v>
      </c>
      <c r="C4385">
        <f>LOG10(1.00948)</f>
        <v>4.0977190442140739E-3</v>
      </c>
      <c r="D4385">
        <f>LOG10(4.162836)</f>
        <v>0.61938930166314121</v>
      </c>
    </row>
    <row r="4386" spans="1:4">
      <c r="A4386">
        <v>1.0067470000000001</v>
      </c>
      <c r="B4386">
        <v>4.0292779999999997</v>
      </c>
      <c r="C4386">
        <f>LOG10(1.006747)</f>
        <v>2.9203441295939238E-3</v>
      </c>
      <c r="D4386">
        <f>LOG10(4.029278)</f>
        <v>0.60522723256605393</v>
      </c>
    </row>
    <row r="4387" spans="1:4">
      <c r="A4387">
        <v>1.008105</v>
      </c>
      <c r="B4387">
        <v>4.0416740000000004</v>
      </c>
      <c r="C4387">
        <f>LOG10(1.008105)</f>
        <v>3.5057687620033383E-3</v>
      </c>
      <c r="D4387">
        <f>LOG10(4.041674)</f>
        <v>0.60656128055215919</v>
      </c>
    </row>
    <row r="4388" spans="1:4">
      <c r="A4388">
        <v>1.011477</v>
      </c>
      <c r="B4388">
        <v>3.836697</v>
      </c>
      <c r="C4388">
        <f>LOG10(1.011477)</f>
        <v>4.956011786358433E-3</v>
      </c>
      <c r="D4388">
        <f>LOG10(3.836697)</f>
        <v>0.58395750250193001</v>
      </c>
    </row>
    <row r="4389" spans="1:4">
      <c r="A4389">
        <v>1.0090410000000001</v>
      </c>
      <c r="B4389">
        <v>3.9511949999999998</v>
      </c>
      <c r="C4389">
        <f>LOG10(1.009041)</f>
        <v>3.9088131268998896E-3</v>
      </c>
      <c r="D4389">
        <f>LOG10(3.951195)</f>
        <v>0.59672846358025244</v>
      </c>
    </row>
    <row r="4390" spans="1:4">
      <c r="A4390">
        <v>1.007217</v>
      </c>
      <c r="B4390">
        <v>3.8769749999999998</v>
      </c>
      <c r="C4390">
        <f>LOG10(1.007217)</f>
        <v>3.1230472664921702E-3</v>
      </c>
      <c r="D4390">
        <f>LOG10(3.876975)</f>
        <v>0.58849300054369347</v>
      </c>
    </row>
    <row r="4391" spans="1:4">
      <c r="A4391">
        <v>1.0075940000000001</v>
      </c>
      <c r="B4391">
        <v>3.7792110000000001</v>
      </c>
      <c r="C4391">
        <f>LOG10(1.007594)</f>
        <v>3.2855727059387203E-3</v>
      </c>
      <c r="D4391">
        <f>LOG10(3.779211)</f>
        <v>0.57740114001903375</v>
      </c>
    </row>
    <row r="4392" spans="1:4">
      <c r="A4392">
        <v>1.008648</v>
      </c>
      <c r="B4392">
        <v>3.6360579999999998</v>
      </c>
      <c r="C4392">
        <f>LOG10(1.008648)</f>
        <v>3.739631718321642E-3</v>
      </c>
      <c r="D4392">
        <f>LOG10(3.636058)</f>
        <v>0.56063080218443184</v>
      </c>
    </row>
    <row r="4393" spans="1:4">
      <c r="A4393">
        <v>1.0098549999999999</v>
      </c>
      <c r="B4393">
        <v>3.6976040000000001</v>
      </c>
      <c r="C4393">
        <f>LOG10(1.009855)</f>
        <v>4.2590200988542135E-3</v>
      </c>
      <c r="D4393">
        <f>LOG10(3.697604)</f>
        <v>0.56792039794707105</v>
      </c>
    </row>
    <row r="4394" spans="1:4">
      <c r="A4394">
        <v>1.0099499999999999</v>
      </c>
      <c r="B4394">
        <v>3.9707249999999998</v>
      </c>
      <c r="C4394">
        <f>LOG10(1.00995)</f>
        <v>4.2998735236266187E-3</v>
      </c>
      <c r="D4394">
        <f>LOG10(3.970725)</f>
        <v>0.59886981022728358</v>
      </c>
    </row>
    <row r="4395" spans="1:4">
      <c r="A4395">
        <v>1.009177</v>
      </c>
      <c r="B4395">
        <v>3.6486580000000002</v>
      </c>
      <c r="C4395">
        <f>LOG10(1.009177)</f>
        <v>3.9673440186352776E-3</v>
      </c>
      <c r="D4395">
        <f>LOG10(3.648658)</f>
        <v>0.5621331575072569</v>
      </c>
    </row>
    <row r="4396" spans="1:4">
      <c r="A4396">
        <v>1.0079419999999999</v>
      </c>
      <c r="B4396">
        <v>3.6982430000000002</v>
      </c>
      <c r="C4396">
        <f>LOG10(1.007942)</f>
        <v>3.435542223927055E-3</v>
      </c>
      <c r="D4396">
        <f>LOG10(3.698243)</f>
        <v>0.5679954438950543</v>
      </c>
    </row>
    <row r="4397" spans="1:4">
      <c r="A4397">
        <v>1.011072</v>
      </c>
      <c r="B4397">
        <v>3.7299660000000001</v>
      </c>
      <c r="C4397">
        <f>LOG10(1.011072)</f>
        <v>4.7820834735989495E-3</v>
      </c>
      <c r="D4397">
        <f>LOG10(3.729966)</f>
        <v>0.57170487307418805</v>
      </c>
    </row>
    <row r="4398" spans="1:4">
      <c r="A4398">
        <v>1.007498</v>
      </c>
      <c r="B4398">
        <v>3.6068380000000002</v>
      </c>
      <c r="C4398">
        <f>LOG10(1.007498)</f>
        <v>3.2441926892503551E-3</v>
      </c>
      <c r="D4398">
        <f>LOG10(3.606838)</f>
        <v>0.55712663655566641</v>
      </c>
    </row>
    <row r="4399" spans="1:4">
      <c r="A4399">
        <v>1.0081519999999999</v>
      </c>
      <c r="B4399">
        <v>3.741968</v>
      </c>
      <c r="C4399">
        <f>LOG10(1.008152)</f>
        <v>3.5260160227970866E-3</v>
      </c>
      <c r="D4399">
        <f>LOG10(3.741968)</f>
        <v>0.57310006924554013</v>
      </c>
    </row>
    <row r="4400" spans="1:4">
      <c r="A4400">
        <v>1.0072350000000001</v>
      </c>
      <c r="B4400">
        <v>3.657521</v>
      </c>
      <c r="C4400">
        <f>LOG10(1.007235)</f>
        <v>3.1308084846045883E-3</v>
      </c>
      <c r="D4400">
        <f>LOG10(3.657521)</f>
        <v>0.56318682834702383</v>
      </c>
    </row>
    <row r="4401" spans="1:4">
      <c r="A4401">
        <v>1.0165360000000001</v>
      </c>
      <c r="B4401">
        <v>3.6507540000000001</v>
      </c>
      <c r="C4401">
        <f>LOG10(1.016536)</f>
        <v>7.1227635195570413E-3</v>
      </c>
      <c r="D4401">
        <f>LOG10(3.650754)</f>
        <v>0.56238256972267575</v>
      </c>
    </row>
    <row r="4402" spans="1:4">
      <c r="A4402">
        <v>1.010607</v>
      </c>
      <c r="B4402">
        <v>3.8568440000000002</v>
      </c>
      <c r="C4402">
        <f>LOG10(1.010607)</f>
        <v>4.582302066514843E-3</v>
      </c>
      <c r="D4402">
        <f>LOG10(3.856844)</f>
        <v>0.58623207306118863</v>
      </c>
    </row>
    <row r="4403" spans="1:4">
      <c r="A4403">
        <v>1.013733</v>
      </c>
      <c r="B4403">
        <v>3.756786</v>
      </c>
      <c r="C4403">
        <f>LOG10(1.013733)</f>
        <v>5.9235842913728225E-3</v>
      </c>
      <c r="D4403">
        <f>LOG10(3.756786)</f>
        <v>0.57481645679717575</v>
      </c>
    </row>
    <row r="4404" spans="1:4">
      <c r="A4404">
        <v>1.0105040000000001</v>
      </c>
      <c r="B4404">
        <v>3.8214060000000001</v>
      </c>
      <c r="C4404">
        <f>LOG10(1.010504)</f>
        <v>4.538036975013442E-3</v>
      </c>
      <c r="D4404">
        <f>LOG10(3.821406)</f>
        <v>0.58222318115679261</v>
      </c>
    </row>
    <row r="4405" spans="1:4">
      <c r="A4405">
        <v>1.008894</v>
      </c>
      <c r="B4405">
        <v>3.6708829999999999</v>
      </c>
      <c r="C4405">
        <f>LOG10(1.008894)</f>
        <v>3.8455392464698877E-3</v>
      </c>
      <c r="D4405">
        <f>LOG10(3.670883)</f>
        <v>0.56477054269953764</v>
      </c>
    </row>
    <row r="4406" spans="1:4">
      <c r="A4406">
        <v>1.0083009999999999</v>
      </c>
      <c r="B4406">
        <v>3.7778239999999998</v>
      </c>
      <c r="C4406">
        <f>LOG10(1.008301)</f>
        <v>3.5901979084362141E-3</v>
      </c>
      <c r="D4406">
        <f>LOG10(3.777824)</f>
        <v>0.57724172129114282</v>
      </c>
    </row>
    <row r="4407" spans="1:4">
      <c r="A4407">
        <v>1.009914</v>
      </c>
      <c r="B4407">
        <v>3.9049420000000001</v>
      </c>
      <c r="C4407">
        <f>LOG10(1.009914)</f>
        <v>4.2843926780348962E-3</v>
      </c>
      <c r="D4407">
        <f>LOG10(3.904942)</f>
        <v>0.59161458769679776</v>
      </c>
    </row>
    <row r="4408" spans="1:4">
      <c r="A4408">
        <v>1.013479</v>
      </c>
      <c r="B4408">
        <v>3.9174129999999998</v>
      </c>
      <c r="C4408">
        <f>LOG10(1.013479)</f>
        <v>5.8147542341507189E-3</v>
      </c>
      <c r="D4408">
        <f>LOG10(3.917413)</f>
        <v>0.59299936020393806</v>
      </c>
    </row>
    <row r="4409" spans="1:4">
      <c r="A4409">
        <v>1.012513</v>
      </c>
      <c r="B4409">
        <v>4.0588569999999997</v>
      </c>
      <c r="C4409">
        <f>LOG10(1.012513)</f>
        <v>5.4006079775903385E-3</v>
      </c>
      <c r="D4409">
        <f>LOG10(4.058857)</f>
        <v>0.60840375070015984</v>
      </c>
    </row>
    <row r="4410" spans="1:4">
      <c r="A4410">
        <v>1.0098039999999999</v>
      </c>
      <c r="B4410">
        <v>3.9742739999999999</v>
      </c>
      <c r="C4410">
        <f>LOG10(1.009804)</f>
        <v>4.2370866748635463E-3</v>
      </c>
      <c r="D4410">
        <f>LOG10(3.974274)</f>
        <v>0.59925780554831287</v>
      </c>
    </row>
    <row r="4411" spans="1:4">
      <c r="A4411">
        <v>1.014966</v>
      </c>
      <c r="B4411">
        <v>4.0309980000000003</v>
      </c>
      <c r="C4411">
        <f>LOG10(1.014966)</f>
        <v>6.451494210115722E-3</v>
      </c>
      <c r="D4411">
        <f>LOG10(4.030998)</f>
        <v>0.60541258267570586</v>
      </c>
    </row>
    <row r="4412" spans="1:4">
      <c r="A4412">
        <v>1.008351</v>
      </c>
      <c r="B4412">
        <v>3.9589180000000002</v>
      </c>
      <c r="C4412">
        <f>LOG10(1.008351)</f>
        <v>3.6117333286273604E-3</v>
      </c>
      <c r="D4412">
        <f>LOG10(3.958918)</f>
        <v>0.59757650642097815</v>
      </c>
    </row>
    <row r="4413" spans="1:4">
      <c r="A4413">
        <v>1.01091</v>
      </c>
      <c r="B4413">
        <v>4.1001810000000001</v>
      </c>
      <c r="C4413">
        <f>LOG10(1.01091)</f>
        <v>4.7124926402296466E-3</v>
      </c>
      <c r="D4413">
        <f>LOG10(4.100181)</f>
        <v>0.61280302880904358</v>
      </c>
    </row>
    <row r="4414" spans="1:4">
      <c r="A4414">
        <v>1.0102230000000001</v>
      </c>
      <c r="B4414">
        <v>4.0768110000000002</v>
      </c>
      <c r="C4414">
        <f>LOG10(1.010223)</f>
        <v>4.4172519801067307E-3</v>
      </c>
      <c r="D4414">
        <f>LOG10(4.076811)</f>
        <v>0.61032057812870977</v>
      </c>
    </row>
    <row r="4415" spans="1:4">
      <c r="A4415">
        <v>1.011034</v>
      </c>
      <c r="B4415">
        <v>4.1132939999999998</v>
      </c>
      <c r="C4415">
        <f>LOG10(1.011034)</f>
        <v>4.7657606989132918E-3</v>
      </c>
      <c r="D4415">
        <f>LOG10(4.113294)</f>
        <v>0.6141897520607138</v>
      </c>
    </row>
    <row r="4416" spans="1:4">
      <c r="A4416">
        <v>1.0165169999999999</v>
      </c>
      <c r="B4416">
        <v>4.3147710000000004</v>
      </c>
      <c r="C4416">
        <f>LOG10(1.016517)</f>
        <v>7.1146460773098448E-3</v>
      </c>
      <c r="D4416">
        <f>LOG10(4.314771)</f>
        <v>0.634957751134547</v>
      </c>
    </row>
    <row r="4417" spans="1:4">
      <c r="A4417">
        <v>1.0271859999999999</v>
      </c>
      <c r="B4417">
        <v>4.3801569999999996</v>
      </c>
      <c r="C4417">
        <f>LOG10(1.027186)</f>
        <v>1.1649091561829349E-2</v>
      </c>
      <c r="D4417">
        <f>LOG10(4.380157)</f>
        <v>0.64148967740173979</v>
      </c>
    </row>
    <row r="4418" spans="1:4">
      <c r="A4418">
        <v>1.0319499999999999</v>
      </c>
      <c r="B4418">
        <v>4.0720830000000001</v>
      </c>
      <c r="C4418">
        <f>LOG10(1.03195)</f>
        <v>1.3658655382135213E-2</v>
      </c>
      <c r="D4418">
        <f>LOG10(4.072083)</f>
        <v>0.6098166215081311</v>
      </c>
    </row>
    <row r="4419" spans="1:4">
      <c r="A4419">
        <v>1.030135</v>
      </c>
      <c r="B4419">
        <v>4.2139490000000004</v>
      </c>
      <c r="C4419">
        <f>LOG10(1.030135)</f>
        <v>1.2894143067455134E-2</v>
      </c>
      <c r="D4419">
        <f>LOG10(4.213949)</f>
        <v>0.62468927518460926</v>
      </c>
    </row>
    <row r="4420" spans="1:4">
      <c r="A4420">
        <v>1.0313479999999999</v>
      </c>
      <c r="B4420">
        <v>4.2168390000000002</v>
      </c>
      <c r="C4420">
        <f>LOG10(1.031348)</f>
        <v>1.3405230733321064E-2</v>
      </c>
      <c r="D4420">
        <f>LOG10(4.216839)</f>
        <v>0.62498701985613025</v>
      </c>
    </row>
    <row r="4421" spans="1:4">
      <c r="A4421">
        <v>1.03189</v>
      </c>
      <c r="B4421">
        <v>4.2782080000000002</v>
      </c>
      <c r="C4421">
        <f>LOG10(1.03189)</f>
        <v>1.3633403745456485E-2</v>
      </c>
      <c r="D4421">
        <f>LOG10(4.278208)</f>
        <v>0.63126189548942868</v>
      </c>
    </row>
    <row r="4422" spans="1:4">
      <c r="A4422">
        <v>1.0300750000000001</v>
      </c>
      <c r="B4422">
        <v>4.377192</v>
      </c>
      <c r="C4422">
        <f>LOG10(1.030075)</f>
        <v>1.2868846938495911E-2</v>
      </c>
      <c r="D4422">
        <f>LOG10(4.377192)</f>
        <v>0.64119559680998861</v>
      </c>
    </row>
    <row r="4423" spans="1:4">
      <c r="A4423">
        <v>1.0298670000000001</v>
      </c>
      <c r="B4423">
        <v>4.541798</v>
      </c>
      <c r="C4423">
        <f>LOG10(1.029867)</f>
        <v>1.2781142282206682E-2</v>
      </c>
      <c r="D4423">
        <f>LOG10(4.541798)</f>
        <v>0.65722781472823655</v>
      </c>
    </row>
    <row r="4424" spans="1:4">
      <c r="A4424">
        <v>1.0271650000000001</v>
      </c>
      <c r="B4424">
        <v>3.811204</v>
      </c>
      <c r="C4424">
        <f>LOG10(1.027165)</f>
        <v>1.1640212666138973E-2</v>
      </c>
      <c r="D4424">
        <f>LOG10(3.811204)</f>
        <v>0.58106219561109451</v>
      </c>
    </row>
    <row r="4425" spans="1:4">
      <c r="A4425">
        <v>1.0252669999999999</v>
      </c>
      <c r="B4425">
        <v>4.4082020000000002</v>
      </c>
      <c r="C4425">
        <f>LOG10(1.025267)</f>
        <v>1.0836979076306525E-2</v>
      </c>
      <c r="D4425">
        <f>LOG10(4.408202)</f>
        <v>0.64426148726734844</v>
      </c>
    </row>
    <row r="4426" spans="1:4">
      <c r="A4426">
        <v>1.02468</v>
      </c>
      <c r="B4426">
        <v>4.3789129999999998</v>
      </c>
      <c r="C4426">
        <f>LOG10(1.02468)</f>
        <v>1.0588259604198314E-2</v>
      </c>
      <c r="D4426">
        <f>LOG10(4.378913)</f>
        <v>0.64136631673922195</v>
      </c>
    </row>
    <row r="4427" spans="1:4">
      <c r="A4427">
        <v>1.0241089999999999</v>
      </c>
      <c r="B4427">
        <v>4.3777590000000002</v>
      </c>
      <c r="C4427">
        <f>LOG10(1.024109)</f>
        <v>1.0346182791420211E-2</v>
      </c>
      <c r="D4427">
        <f>LOG10(4.377759)</f>
        <v>0.64125184954551695</v>
      </c>
    </row>
    <row r="4428" spans="1:4">
      <c r="A4428">
        <v>1.0236099999999999</v>
      </c>
      <c r="B4428">
        <v>4.2775869999999996</v>
      </c>
      <c r="C4428">
        <f>LOG10(1.02361)</f>
        <v>1.0134520008822203E-2</v>
      </c>
      <c r="D4428">
        <f>LOG10(4.277587)</f>
        <v>0.63119885123141739</v>
      </c>
    </row>
    <row r="4429" spans="1:4">
      <c r="A4429">
        <v>1.0265770000000001</v>
      </c>
      <c r="B4429">
        <v>4.0728840000000002</v>
      </c>
      <c r="C4429">
        <f>LOG10(1.026577)</f>
        <v>1.13915298594995E-2</v>
      </c>
      <c r="D4429">
        <f>LOG10(4.072884)</f>
        <v>0.60990204110065394</v>
      </c>
    </row>
    <row r="4430" spans="1:4">
      <c r="A4430">
        <v>1.0278590000000001</v>
      </c>
      <c r="B4430">
        <v>4.2390340000000002</v>
      </c>
      <c r="C4430">
        <f>LOG10(1.027859)</f>
        <v>1.1933542945394898E-2</v>
      </c>
      <c r="D4430">
        <f>LOG10(4.239034)</f>
        <v>0.62726689992589213</v>
      </c>
    </row>
    <row r="4431" spans="1:4">
      <c r="A4431">
        <v>1.0231209999999999</v>
      </c>
      <c r="B4431">
        <v>4.15733</v>
      </c>
      <c r="C4431">
        <f>LOG10(1.023121)</f>
        <v>9.9269988390236503E-3</v>
      </c>
      <c r="D4431">
        <f>LOG10(4.15733)</f>
        <v>0.61881449924539478</v>
      </c>
    </row>
    <row r="4432" spans="1:4">
      <c r="A4432">
        <v>1.0270589999999999</v>
      </c>
      <c r="B4432">
        <v>4.0813569999999997</v>
      </c>
      <c r="C4432">
        <f>LOG10(1.027059)</f>
        <v>1.1595392612315559E-2</v>
      </c>
      <c r="D4432">
        <f>LOG10(4.081357)</f>
        <v>0.61080458456718412</v>
      </c>
    </row>
    <row r="4433" spans="1:4">
      <c r="A4433">
        <v>1.0200359999999999</v>
      </c>
      <c r="B4433">
        <v>3.818581</v>
      </c>
      <c r="C4433">
        <f>LOG10(1.020036)</f>
        <v>8.6154995319668304E-3</v>
      </c>
      <c r="D4433">
        <f>LOG10(3.818581)</f>
        <v>0.58190200732042552</v>
      </c>
    </row>
    <row r="4434" spans="1:4">
      <c r="A4434">
        <v>1.0177970000000001</v>
      </c>
      <c r="B4434">
        <v>4.1010809999999998</v>
      </c>
      <c r="C4434">
        <f>LOG10(1.017797)</f>
        <v>7.6611664376827864E-3</v>
      </c>
      <c r="D4434">
        <f>LOG10(4.101081)</f>
        <v>0.61289834707476465</v>
      </c>
    </row>
    <row r="4435" spans="1:4">
      <c r="A4435">
        <v>1.02824</v>
      </c>
      <c r="B4435">
        <v>4.2079440000000004</v>
      </c>
      <c r="C4435">
        <f>LOG10(1.02824)</f>
        <v>1.2094494533328157E-2</v>
      </c>
      <c r="D4435">
        <f>LOG10(4.207944)</f>
        <v>0.62406995152286515</v>
      </c>
    </row>
    <row r="4436" spans="1:4">
      <c r="A4436">
        <v>1.022594</v>
      </c>
      <c r="B4436">
        <v>3.853685</v>
      </c>
      <c r="C4436">
        <f>LOG10(1.022594)</f>
        <v>9.7032402049754551E-3</v>
      </c>
      <c r="D4436">
        <f>LOG10(3.853685)</f>
        <v>0.58587621256313616</v>
      </c>
    </row>
    <row r="4437" spans="1:4">
      <c r="A4437">
        <v>1.0171840000000001</v>
      </c>
      <c r="B4437">
        <v>3.8740809999999999</v>
      </c>
      <c r="C4437">
        <f>LOG10(1.017184)</f>
        <v>7.3995202351294911E-3</v>
      </c>
      <c r="D4437">
        <f>LOG10(3.874081)</f>
        <v>0.58816869678713923</v>
      </c>
    </row>
    <row r="4438" spans="1:4">
      <c r="A4438">
        <v>1.015299</v>
      </c>
      <c r="B4438">
        <v>3.8582160000000001</v>
      </c>
      <c r="C4438">
        <f>LOG10(1.015299)</f>
        <v>6.593958434018117E-3</v>
      </c>
      <c r="D4438">
        <f>LOG10(3.858216)</f>
        <v>0.58638653771485372</v>
      </c>
    </row>
    <row r="4439" spans="1:4">
      <c r="A4439">
        <v>1.024993</v>
      </c>
      <c r="B4439">
        <v>3.9536509999999998</v>
      </c>
      <c r="C4439">
        <f>LOG10(1.024993)</f>
        <v>1.0720899468110617E-2</v>
      </c>
      <c r="D4439">
        <f>LOG10(3.953651)</f>
        <v>0.5969983302625067</v>
      </c>
    </row>
    <row r="4440" spans="1:4">
      <c r="A4440">
        <v>1.022581</v>
      </c>
      <c r="B4440">
        <v>3.745946</v>
      </c>
      <c r="C4440">
        <f>LOG10(1.022581)</f>
        <v>9.6977190850078866E-3</v>
      </c>
      <c r="D4440">
        <f>LOG10(3.745946)</f>
        <v>0.57356151247566856</v>
      </c>
    </row>
    <row r="4441" spans="1:4">
      <c r="A4441">
        <v>1.0113540000000001</v>
      </c>
      <c r="B4441">
        <v>3.8645109999999998</v>
      </c>
      <c r="C4441">
        <f>LOG10(1.011354)</f>
        <v>4.9031964781691868E-3</v>
      </c>
      <c r="D4441">
        <f>LOG10(3.864511)</f>
        <v>0.5870945478177807</v>
      </c>
    </row>
    <row r="4442" spans="1:4">
      <c r="A4442">
        <v>1.0207949999999999</v>
      </c>
      <c r="B4442">
        <v>3.8347859999999998</v>
      </c>
      <c r="C4442">
        <f>LOG10(1.020795)</f>
        <v>8.9385341457708396E-3</v>
      </c>
      <c r="D4442">
        <f>LOG10(3.834786)</f>
        <v>0.583741133184007</v>
      </c>
    </row>
    <row r="4443" spans="1:4">
      <c r="A4443">
        <v>1.0288459999999999</v>
      </c>
      <c r="B4443">
        <v>4.2671089999999996</v>
      </c>
      <c r="C4443">
        <f>LOG10(1.028846)</f>
        <v>1.2350373445193462E-2</v>
      </c>
      <c r="D4443">
        <f>LOG10(4.267109)</f>
        <v>0.63013373671774064</v>
      </c>
    </row>
    <row r="4444" spans="1:4">
      <c r="A4444">
        <v>1.0306360000000001</v>
      </c>
      <c r="B4444">
        <v>4.0861640000000001</v>
      </c>
      <c r="C4444">
        <f>LOG10(1.030636)</f>
        <v>1.3105308247594221E-2</v>
      </c>
      <c r="D4444">
        <f>LOG10(4.086164)</f>
        <v>0.6113157932474087</v>
      </c>
    </row>
    <row r="4445" spans="1:4">
      <c r="A4445">
        <v>1.0420689999999999</v>
      </c>
      <c r="B4445">
        <v>3.852274</v>
      </c>
      <c r="C4445">
        <f>LOG10(1.042069)</f>
        <v>1.7896476475144904E-2</v>
      </c>
      <c r="D4445">
        <f>LOG10(3.852274)</f>
        <v>0.58571716953661246</v>
      </c>
    </row>
    <row r="4446" spans="1:4">
      <c r="A4446">
        <v>1.033493</v>
      </c>
      <c r="B4446">
        <v>3.7862480000000001</v>
      </c>
      <c r="C4446">
        <f>LOG10(1.033493)</f>
        <v>1.4307539432906774E-2</v>
      </c>
      <c r="D4446">
        <f>LOG10(3.786248)</f>
        <v>0.57820905693472047</v>
      </c>
    </row>
    <row r="4447" spans="1:4">
      <c r="A4447">
        <v>1.035587</v>
      </c>
      <c r="B4447">
        <v>3.7419020000000001</v>
      </c>
      <c r="C4447">
        <f>LOG10(1.035587)</f>
        <v>1.5186589982512507E-2</v>
      </c>
      <c r="D4447">
        <f>LOG10(3.741902)</f>
        <v>0.57309240918842896</v>
      </c>
    </row>
    <row r="4448" spans="1:4">
      <c r="A4448">
        <v>1.0262070000000001</v>
      </c>
      <c r="B4448">
        <v>4.0435249999999998</v>
      </c>
      <c r="C4448">
        <f>LOG10(1.026207)</f>
        <v>1.1234972754568513E-2</v>
      </c>
      <c r="D4448">
        <f>LOG10(4.043525)</f>
        <v>0.60676013257795269</v>
      </c>
    </row>
    <row r="4449" spans="1:4">
      <c r="A4449">
        <v>1.0299210000000001</v>
      </c>
      <c r="B4449">
        <v>4.0319789999999998</v>
      </c>
      <c r="C4449">
        <f>LOG10(1.029921)</f>
        <v>1.2803913462569077E-2</v>
      </c>
      <c r="D4449">
        <f>LOG10(4.031979)</f>
        <v>0.60551826148115173</v>
      </c>
    </row>
    <row r="4450" spans="1:4">
      <c r="A4450">
        <v>1.0316689999999999</v>
      </c>
      <c r="B4450">
        <v>3.7330839999999998</v>
      </c>
      <c r="C4450">
        <f>LOG10(1.031669)</f>
        <v>1.3540380884595632E-2</v>
      </c>
      <c r="D4450">
        <f>LOG10(3.733084)</f>
        <v>0.5720677623147431</v>
      </c>
    </row>
    <row r="4451" spans="1:4">
      <c r="A4451">
        <v>1.029426</v>
      </c>
      <c r="B4451">
        <v>3.939174</v>
      </c>
      <c r="C4451">
        <f>LOG10(1.029426)</f>
        <v>1.2595132938759974E-2</v>
      </c>
      <c r="D4451">
        <f>LOG10(3.939174)</f>
        <v>0.59540516475706251</v>
      </c>
    </row>
    <row r="4452" spans="1:4">
      <c r="A4452">
        <v>1.026483</v>
      </c>
      <c r="B4452">
        <v>3.9904329999999999</v>
      </c>
      <c r="C4452">
        <f>LOG10(1.026483)</f>
        <v>1.1351761239656488E-2</v>
      </c>
      <c r="D4452">
        <f>LOG10(3.990433)</f>
        <v>0.6010200233327917</v>
      </c>
    </row>
    <row r="4453" spans="1:4">
      <c r="A4453">
        <v>1.0252479999999999</v>
      </c>
      <c r="B4453">
        <v>3.8850820000000001</v>
      </c>
      <c r="C4453">
        <f>LOG10(1.025248)</f>
        <v>1.0828930761462309E-2</v>
      </c>
      <c r="D4453">
        <f>LOG10(3.885082)</f>
        <v>0.58940018961613305</v>
      </c>
    </row>
    <row r="4454" spans="1:4">
      <c r="A4454">
        <v>1.0306090000000001</v>
      </c>
      <c r="B4454">
        <v>3.8191269999999999</v>
      </c>
      <c r="C4454">
        <f>LOG10(1.030609)</f>
        <v>1.3093930705368956E-2</v>
      </c>
      <c r="D4454">
        <f>LOG10(3.819127)</f>
        <v>0.58196410050008707</v>
      </c>
    </row>
    <row r="4455" spans="1:4">
      <c r="A4455">
        <v>1.03962</v>
      </c>
      <c r="B4455">
        <v>4.0260600000000002</v>
      </c>
      <c r="C4455">
        <f>LOG10(1.03962)</f>
        <v>1.6874625779041197E-2</v>
      </c>
      <c r="D4455">
        <f>LOG10(4.02606)</f>
        <v>0.60488024285138031</v>
      </c>
    </row>
    <row r="4456" spans="1:4">
      <c r="A4456">
        <v>1.022807</v>
      </c>
      <c r="B4456">
        <v>3.8692350000000002</v>
      </c>
      <c r="C4456">
        <f>LOG10(1.022807)</f>
        <v>9.7936916372176261E-3</v>
      </c>
      <c r="D4456">
        <f>LOG10(3.869235)</f>
        <v>0.58762510762351305</v>
      </c>
    </row>
    <row r="4457" spans="1:4">
      <c r="A4457">
        <v>1.0235339999999999</v>
      </c>
      <c r="B4457">
        <v>3.991854</v>
      </c>
      <c r="C4457">
        <f>LOG10(1.023534)</f>
        <v>1.0102273737294849E-2</v>
      </c>
      <c r="D4457">
        <f>LOG10(3.991854)</f>
        <v>0.60117464880925064</v>
      </c>
    </row>
    <row r="4458" spans="1:4">
      <c r="A4458">
        <v>1.0225610000000001</v>
      </c>
      <c r="B4458">
        <v>4.0632659999999996</v>
      </c>
      <c r="C4458">
        <f>LOG10(1.022561)</f>
        <v>9.6892249172304875E-3</v>
      </c>
      <c r="D4458">
        <f>LOG10(4.063266)</f>
        <v>0.60887525416268851</v>
      </c>
    </row>
    <row r="4459" spans="1:4">
      <c r="A4459">
        <v>1.0314620000000001</v>
      </c>
      <c r="B4459">
        <v>4.0154589999999999</v>
      </c>
      <c r="C4459">
        <f>LOG10(1.031462)</f>
        <v>1.3453232799422593E-2</v>
      </c>
      <c r="D4459">
        <f>LOG10(4.015459)</f>
        <v>0.60373519588458557</v>
      </c>
    </row>
    <row r="4460" spans="1:4">
      <c r="A4460">
        <v>1.031453</v>
      </c>
      <c r="B4460">
        <v>3.856042</v>
      </c>
      <c r="C4460">
        <f>LOG10(1.031453)</f>
        <v>1.3449443355517034E-2</v>
      </c>
      <c r="D4460">
        <f>LOG10(3.856042)</f>
        <v>0.58614175559098569</v>
      </c>
    </row>
    <row r="4461" spans="1:4">
      <c r="A4461">
        <v>1.019919</v>
      </c>
      <c r="B4461">
        <v>4.0007380000000001</v>
      </c>
      <c r="C4461">
        <f>LOG10(1.019919)</f>
        <v>8.5656823012550121E-3</v>
      </c>
      <c r="D4461">
        <f>LOG10(4.000738)</f>
        <v>0.60214011126903622</v>
      </c>
    </row>
    <row r="4462" spans="1:4">
      <c r="A4462">
        <v>1.0143740000000001</v>
      </c>
      <c r="B4462">
        <v>3.7799130000000001</v>
      </c>
      <c r="C4462">
        <f>LOG10(1.014374)</f>
        <v>6.1981090301262663E-3</v>
      </c>
      <c r="D4462">
        <f>LOG10(3.779913)</f>
        <v>0.57748180405554705</v>
      </c>
    </row>
    <row r="4463" spans="1:4">
      <c r="A4463">
        <v>1.018543</v>
      </c>
      <c r="B4463">
        <v>4.0534290000000004</v>
      </c>
      <c r="C4463">
        <f>LOG10(1.018543)</f>
        <v>7.9793684059135134E-3</v>
      </c>
      <c r="D4463">
        <f>LOG10(4.053429)</f>
        <v>0.60782257030302611</v>
      </c>
    </row>
    <row r="4464" spans="1:4">
      <c r="A4464">
        <v>1.0293350000000001</v>
      </c>
      <c r="B4464">
        <v>3.8586710000000002</v>
      </c>
      <c r="C4464">
        <f>LOG10(1.029335)</f>
        <v>1.2556740140490661E-2</v>
      </c>
      <c r="D4464">
        <f>LOG10(3.858671)</f>
        <v>0.58643775110945051</v>
      </c>
    </row>
    <row r="4465" spans="1:4">
      <c r="A4465">
        <v>1.019639</v>
      </c>
      <c r="B4465">
        <v>4.1943919999999997</v>
      </c>
      <c r="C4465">
        <f>LOG10(1.019639)</f>
        <v>8.4464383712497017E-3</v>
      </c>
      <c r="D4465">
        <f>LOG10(4.194392)</f>
        <v>0.62266901637284966</v>
      </c>
    </row>
    <row r="4466" spans="1:4">
      <c r="A4466">
        <v>1.0160610000000001</v>
      </c>
      <c r="B4466">
        <v>4.2192400000000001</v>
      </c>
      <c r="C4466">
        <f>LOG10(1.016061)</f>
        <v>6.9197819322976712E-3</v>
      </c>
      <c r="D4466">
        <f>LOG10(4.21924)</f>
        <v>0.62523422974574949</v>
      </c>
    </row>
    <row r="4467" spans="1:4">
      <c r="A4467">
        <v>1.010602</v>
      </c>
      <c r="B4467">
        <v>4.1360330000000003</v>
      </c>
      <c r="C4467">
        <f>LOG10(1.010602)</f>
        <v>4.5801533798530136E-3</v>
      </c>
      <c r="D4467">
        <f>LOG10(4.136033)</f>
        <v>0.61658399518760965</v>
      </c>
    </row>
    <row r="4468" spans="1:4">
      <c r="A4468">
        <v>1.014656</v>
      </c>
      <c r="B4468">
        <v>4.3398139999999996</v>
      </c>
      <c r="C4468">
        <f>LOG10(1.014656)</f>
        <v>6.3188278412677759E-3</v>
      </c>
      <c r="D4468">
        <f>LOG10(4.339814)</f>
        <v>0.63747111649300436</v>
      </c>
    </row>
    <row r="4469" spans="1:4">
      <c r="A4469">
        <v>1.0064439999999999</v>
      </c>
      <c r="B4469">
        <v>4.1263209999999999</v>
      </c>
      <c r="C4469">
        <f>LOG10(1.006444)</f>
        <v>2.7896151237416442E-3</v>
      </c>
      <c r="D4469">
        <f>LOG10(4.126321)</f>
        <v>0.61556301013883608</v>
      </c>
    </row>
    <row r="4470" spans="1:4">
      <c r="A4470">
        <v>1.0084740000000001</v>
      </c>
      <c r="B4470">
        <v>4.3422790000000004</v>
      </c>
      <c r="C4470">
        <f>LOG10(1.008474)</f>
        <v>3.6647059180591351E-3</v>
      </c>
      <c r="D4470">
        <f>LOG10(4.342279)</f>
        <v>0.63771772429291096</v>
      </c>
    </row>
    <row r="4471" spans="1:4">
      <c r="A4471">
        <v>1.0079210000000001</v>
      </c>
      <c r="B4471">
        <v>4.4489900000000002</v>
      </c>
      <c r="C4471">
        <f>LOG10(1.007921)</f>
        <v>3.426493807323126E-3</v>
      </c>
      <c r="D4471">
        <f>LOG10(4.44899)</f>
        <v>0.64826142958492916</v>
      </c>
    </row>
    <row r="4472" spans="1:4">
      <c r="A4472">
        <v>1.006804</v>
      </c>
      <c r="B4472">
        <v>4.4965929999999998</v>
      </c>
      <c r="C4472">
        <f>LOG10(1.006804)</f>
        <v>2.9449323177998211E-3</v>
      </c>
      <c r="D4472">
        <f>LOG10(4.496593)</f>
        <v>0.65288358006219749</v>
      </c>
    </row>
    <row r="4473" spans="1:4">
      <c r="A4473">
        <v>1.0058959999999999</v>
      </c>
      <c r="B4473">
        <v>3.8106800000000001</v>
      </c>
      <c r="C4473">
        <f>LOG10(1.005896)</f>
        <v>2.5530811563544012E-3</v>
      </c>
      <c r="D4473">
        <f>LOG10(3.81068)</f>
        <v>0.58100248063540716</v>
      </c>
    </row>
    <row r="4474" spans="1:4">
      <c r="A4474">
        <v>1.0074920000000001</v>
      </c>
      <c r="B4474">
        <v>4.3503059999999998</v>
      </c>
      <c r="C4474">
        <f>LOG10(1.007492)</f>
        <v>3.2416063072917291E-3</v>
      </c>
      <c r="D4474">
        <f>LOG10(4.350306)</f>
        <v>0.63851980625060856</v>
      </c>
    </row>
    <row r="4475" spans="1:4">
      <c r="A4475">
        <v>1.0060340000000001</v>
      </c>
      <c r="B4475">
        <v>4.3915480000000002</v>
      </c>
      <c r="C4475">
        <f>LOG10(1.006034)</f>
        <v>2.6126584165937945E-3</v>
      </c>
      <c r="D4475">
        <f>LOG10(4.391548)</f>
        <v>0.64261763399039218</v>
      </c>
    </row>
    <row r="4476" spans="1:4">
      <c r="A4476">
        <v>1.005744</v>
      </c>
      <c r="B4476">
        <v>4.3306089999999999</v>
      </c>
      <c r="C4476">
        <f>LOG10(1.005744)</f>
        <v>2.4874503661783324E-3</v>
      </c>
      <c r="D4476">
        <f>LOG10(4.330609)</f>
        <v>0.63654897412281908</v>
      </c>
    </row>
    <row r="4477" spans="1:4">
      <c r="A4477">
        <v>1.0050669999999999</v>
      </c>
      <c r="B4477">
        <v>4.1707200000000002</v>
      </c>
      <c r="C4477">
        <f>LOG10(1.005067)</f>
        <v>2.1950137569119064E-3</v>
      </c>
      <c r="D4477">
        <f>LOG10(4.17072)</f>
        <v>0.62021103459847748</v>
      </c>
    </row>
    <row r="4478" spans="1:4">
      <c r="A4478">
        <v>1.005088</v>
      </c>
      <c r="B4478">
        <v>3.9732249999999998</v>
      </c>
      <c r="C4478">
        <f>LOG10(1.005088)</f>
        <v>2.2040878672370517E-3</v>
      </c>
      <c r="D4478">
        <f>LOG10(3.973225)</f>
        <v>0.59914315944035801</v>
      </c>
    </row>
    <row r="4479" spans="1:4">
      <c r="A4479">
        <v>1.0072220000000001</v>
      </c>
      <c r="B4479">
        <v>4.2579149999999997</v>
      </c>
      <c r="C4479">
        <f>LOG10(1.007222)</f>
        <v>3.1252031743251056E-3</v>
      </c>
      <c r="D4479">
        <f>LOG10(4.257915)</f>
        <v>0.62919698744532315</v>
      </c>
    </row>
    <row r="4480" spans="1:4">
      <c r="A4480">
        <v>1.008491</v>
      </c>
      <c r="B4480">
        <v>4.092676</v>
      </c>
      <c r="C4480">
        <f>LOG10(1.008491)</f>
        <v>3.6720268246613827E-3</v>
      </c>
      <c r="D4480">
        <f>LOG10(4.092676)</f>
        <v>0.6120073647327956</v>
      </c>
    </row>
    <row r="4481" spans="1:4">
      <c r="A4481">
        <v>1.0082500000000001</v>
      </c>
      <c r="B4481">
        <v>4.073677</v>
      </c>
      <c r="C4481">
        <f>LOG10(1.00825)</f>
        <v>3.5682306796562804E-3</v>
      </c>
      <c r="D4481">
        <f>LOG10(4.073677)</f>
        <v>0.60998659101692831</v>
      </c>
    </row>
    <row r="4482" spans="1:4">
      <c r="A4482">
        <v>1.0058279999999999</v>
      </c>
      <c r="B4482">
        <v>3.727786</v>
      </c>
      <c r="C4482">
        <f>LOG10(1.005828)</f>
        <v>2.523721239406898E-3</v>
      </c>
      <c r="D4482">
        <f>LOG10(3.727786)</f>
        <v>0.57145097297198166</v>
      </c>
    </row>
    <row r="4483" spans="1:4">
      <c r="A4483">
        <v>1.0098050000000001</v>
      </c>
      <c r="B4483">
        <v>4.435632</v>
      </c>
      <c r="C4483">
        <f>LOG10(1.009805)</f>
        <v>4.2375167526478739E-3</v>
      </c>
      <c r="D4483">
        <f>LOG10(4.435632)</f>
        <v>0.64695550794626899</v>
      </c>
    </row>
    <row r="4484" spans="1:4">
      <c r="A4484">
        <v>1.0080690000000001</v>
      </c>
      <c r="B4484">
        <v>3.8290030000000002</v>
      </c>
      <c r="C4484">
        <f>LOG10(1.008069)</f>
        <v>3.4902595833807134E-3</v>
      </c>
      <c r="D4484">
        <f>LOG10(3.829003)</f>
        <v>0.58308570661484227</v>
      </c>
    </row>
    <row r="4485" spans="1:4">
      <c r="A4485">
        <v>1.0069669999999999</v>
      </c>
      <c r="B4485">
        <v>3.8482500000000002</v>
      </c>
      <c r="C4485">
        <f>LOG10(1.006967)</f>
        <v>3.0152382271656734E-3</v>
      </c>
      <c r="D4485">
        <f>LOG10(3.84825)</f>
        <v>0.58526327804708489</v>
      </c>
    </row>
    <row r="4486" spans="1:4">
      <c r="A4486">
        <v>1.007922</v>
      </c>
      <c r="B4486">
        <v>3.8724059999999998</v>
      </c>
      <c r="C4486">
        <f>LOG10(1.007922)</f>
        <v>3.4269246885791243E-3</v>
      </c>
      <c r="D4486">
        <f>LOG10(3.872406)</f>
        <v>0.58798088435847962</v>
      </c>
    </row>
    <row r="4487" spans="1:4">
      <c r="A4487">
        <v>1.0083930000000001</v>
      </c>
      <c r="B4487">
        <v>3.9171360000000002</v>
      </c>
      <c r="C4487">
        <f>LOG10(1.008393)</f>
        <v>3.6298222563669407E-3</v>
      </c>
      <c r="D4487">
        <f>LOG10(3.917136)</f>
        <v>0.59296865018564926</v>
      </c>
    </row>
    <row r="4488" spans="1:4">
      <c r="A4488">
        <v>1.0112000000000001</v>
      </c>
      <c r="B4488">
        <v>3.8048679999999999</v>
      </c>
      <c r="C4488">
        <f>LOG10(1.0112)</f>
        <v>4.8370609383098367E-3</v>
      </c>
      <c r="D4488">
        <f>LOG10(3.804868)</f>
        <v>0.58033959465034901</v>
      </c>
    </row>
    <row r="4489" spans="1:4">
      <c r="A4489">
        <v>1.007844</v>
      </c>
      <c r="B4489">
        <v>3.748758</v>
      </c>
      <c r="C4489">
        <f>LOG10(1.007844)</f>
        <v>3.3933146667756305E-3</v>
      </c>
      <c r="D4489">
        <f>LOG10(3.748758)</f>
        <v>0.57388740557042395</v>
      </c>
    </row>
    <row r="4490" spans="1:4">
      <c r="A4490">
        <v>1.0090319999999999</v>
      </c>
      <c r="B4490">
        <v>3.8177599999999998</v>
      </c>
      <c r="C4490">
        <f>LOG10(1.009032)</f>
        <v>3.9049394807659592E-3</v>
      </c>
      <c r="D4490">
        <f>LOG10(3.81776)</f>
        <v>0.58180862338929507</v>
      </c>
    </row>
    <row r="4491" spans="1:4">
      <c r="A4491">
        <v>1.439354</v>
      </c>
      <c r="B4491">
        <v>3.7944300000000002</v>
      </c>
      <c r="C4491">
        <f>LOG10(1.439354)</f>
        <v>0.15816761905079818</v>
      </c>
      <c r="D4491">
        <f>LOG10(3.79443)</f>
        <v>0.57914654533107834</v>
      </c>
    </row>
    <row r="4492" spans="1:4">
      <c r="A4492">
        <v>1.0153939999999999</v>
      </c>
      <c r="B4492">
        <v>4.272106</v>
      </c>
      <c r="C4492">
        <f>LOG10(1.015394)</f>
        <v>6.634592814311828E-3</v>
      </c>
      <c r="D4492">
        <f>LOG10(4.272106)</f>
        <v>0.63064201992030366</v>
      </c>
    </row>
    <row r="4493" spans="1:4">
      <c r="A4493">
        <v>1.011925</v>
      </c>
      <c r="B4493">
        <v>3.9231129999999999</v>
      </c>
      <c r="C4493">
        <f>LOG10(1.011925)</f>
        <v>5.1483254551913859E-3</v>
      </c>
      <c r="D4493">
        <f>LOG10(3.923113)</f>
        <v>0.59363081757885394</v>
      </c>
    </row>
    <row r="4494" spans="1:4">
      <c r="A4494">
        <v>1.03745</v>
      </c>
      <c r="B4494">
        <v>3.783677</v>
      </c>
      <c r="C4494">
        <f>LOG10(1.03745)</f>
        <v>1.5967175025230707E-2</v>
      </c>
      <c r="D4494">
        <f>LOG10(3.783677)</f>
        <v>0.57791405502759308</v>
      </c>
    </row>
    <row r="4495" spans="1:4">
      <c r="A4495">
        <v>1.0154730000000001</v>
      </c>
      <c r="B4495">
        <v>3.6693720000000001</v>
      </c>
      <c r="C4495">
        <f>LOG10(1.015473)</f>
        <v>6.6683806143870991E-3</v>
      </c>
      <c r="D4495">
        <f>LOG10(3.669372)</f>
        <v>0.56459174265201217</v>
      </c>
    </row>
    <row r="4496" spans="1:4">
      <c r="A4496">
        <v>1.013646</v>
      </c>
      <c r="B4496">
        <v>3.8499479999999999</v>
      </c>
      <c r="C4496">
        <f>LOG10(1.013646)</f>
        <v>5.886310925170694E-3</v>
      </c>
      <c r="D4496">
        <f>LOG10(3.849948)</f>
        <v>0.58545486367328736</v>
      </c>
    </row>
    <row r="4497" spans="1:4">
      <c r="A4497">
        <v>1.0121990000000001</v>
      </c>
      <c r="B4497">
        <v>4.0133179999999999</v>
      </c>
      <c r="C4497">
        <f>LOG10(1.012199)</f>
        <v>5.2659039126064259E-3</v>
      </c>
      <c r="D4497">
        <f>LOG10(4.013318)</f>
        <v>0.60350357293434176</v>
      </c>
    </row>
    <row r="4498" spans="1:4">
      <c r="A4498">
        <v>1.0169809999999999</v>
      </c>
      <c r="B4498">
        <v>3.8991340000000001</v>
      </c>
      <c r="C4498">
        <f>LOG10(1.016981)</f>
        <v>7.31283918406519E-3</v>
      </c>
      <c r="D4498">
        <f>LOG10(3.899134)</f>
        <v>0.59096816067159008</v>
      </c>
    </row>
    <row r="4499" spans="1:4">
      <c r="A4499">
        <v>1.0199009999999999</v>
      </c>
      <c r="B4499">
        <v>3.6904300000000001</v>
      </c>
      <c r="C4499">
        <f>LOG10(1.019901)</f>
        <v>8.5580176046891453E-3</v>
      </c>
      <c r="D4499">
        <f>LOG10(3.69043)</f>
        <v>0.56707697205260033</v>
      </c>
    </row>
    <row r="4500" spans="1:4">
      <c r="A4500">
        <v>1.011477</v>
      </c>
      <c r="B4500">
        <v>3.7731469999999998</v>
      </c>
      <c r="C4500">
        <f>LOG10(1.011477)</f>
        <v>4.956011786358433E-3</v>
      </c>
      <c r="D4500">
        <f>LOG10(3.773147)</f>
        <v>0.57670372543561266</v>
      </c>
    </row>
    <row r="4501" spans="1:4">
      <c r="A4501">
        <v>1.0061580000000001</v>
      </c>
      <c r="B4501">
        <v>4.0006830000000004</v>
      </c>
      <c r="C4501">
        <f>LOG10(1.006158)</f>
        <v>2.6661846365809315E-3</v>
      </c>
      <c r="D4501">
        <f>LOG10(4.000683)</f>
        <v>0.60213414078041805</v>
      </c>
    </row>
    <row r="4502" spans="1:4">
      <c r="A4502">
        <v>1.0116879999999999</v>
      </c>
      <c r="B4502">
        <v>3.771509</v>
      </c>
      <c r="C4502">
        <f>LOG10(1.011688)</f>
        <v>5.04659869945134E-3</v>
      </c>
      <c r="D4502">
        <f>LOG10(3.771509)</f>
        <v>0.57651514841565721</v>
      </c>
    </row>
    <row r="4503" spans="1:4">
      <c r="A4503">
        <v>1.0075810000000001</v>
      </c>
      <c r="B4503">
        <v>3.7714259999999999</v>
      </c>
      <c r="C4503">
        <f>LOG10(1.007581)</f>
        <v>3.2799693928122291E-3</v>
      </c>
      <c r="D4503">
        <f>LOG10(3.771426)</f>
        <v>0.57650559074559926</v>
      </c>
    </row>
    <row r="4504" spans="1:4">
      <c r="A4504">
        <v>1.019738</v>
      </c>
      <c r="B4504">
        <v>3.9302990000000002</v>
      </c>
      <c r="C4504">
        <f>LOG10(1.019738)</f>
        <v>8.4886033596184296E-3</v>
      </c>
      <c r="D4504">
        <f>LOG10(3.930299)</f>
        <v>0.5944255908615842</v>
      </c>
    </row>
    <row r="4505" spans="1:4">
      <c r="A4505">
        <v>1.006653</v>
      </c>
      <c r="B4505">
        <v>3.8708830000000001</v>
      </c>
      <c r="C4505">
        <f>LOG10(1.006653)</f>
        <v>2.879792146551723E-3</v>
      </c>
      <c r="D4505">
        <f>LOG10(3.870883)</f>
        <v>0.58781004467925091</v>
      </c>
    </row>
    <row r="4506" spans="1:4">
      <c r="A4506">
        <v>1.012372</v>
      </c>
      <c r="B4506">
        <v>3.8661590000000001</v>
      </c>
      <c r="C4506">
        <f>LOG10(1.012372)</f>
        <v>5.3401250148074559E-3</v>
      </c>
      <c r="D4506">
        <f>LOG10(3.866159)</f>
        <v>0.58727971089343101</v>
      </c>
    </row>
    <row r="4507" spans="1:4">
      <c r="A4507">
        <v>1.007098</v>
      </c>
      <c r="B4507">
        <v>4.0043030000000002</v>
      </c>
      <c r="C4507">
        <f>LOG10(1.007098)</f>
        <v>3.0717335013595048E-3</v>
      </c>
      <c r="D4507">
        <f>LOG10(4.004303)</f>
        <v>0.60252693250588973</v>
      </c>
    </row>
    <row r="4508" spans="1:4">
      <c r="A4508">
        <v>1.0113289999999999</v>
      </c>
      <c r="B4508">
        <v>3.9801690000000001</v>
      </c>
      <c r="C4508">
        <f>LOG10(1.011329)</f>
        <v>4.8924608739759389E-3</v>
      </c>
      <c r="D4508">
        <f>LOG10(3.980169)</f>
        <v>0.59990151282977044</v>
      </c>
    </row>
    <row r="4509" spans="1:4">
      <c r="A4509">
        <v>1.0112669999999999</v>
      </c>
      <c r="B4509">
        <v>3.890911</v>
      </c>
      <c r="C4509">
        <f>LOG10(1.011267)</f>
        <v>4.8658354303515693E-3</v>
      </c>
      <c r="D4509">
        <f>LOG10(3.890911)</f>
        <v>0.59005129694330871</v>
      </c>
    </row>
    <row r="4510" spans="1:4">
      <c r="A4510">
        <v>1.009674</v>
      </c>
      <c r="B4510">
        <v>3.8811580000000001</v>
      </c>
      <c r="C4510">
        <f>LOG10(1.009674)</f>
        <v>4.181172936040551E-3</v>
      </c>
      <c r="D4510">
        <f>LOG10(3.881158)</f>
        <v>0.58896132301092674</v>
      </c>
    </row>
    <row r="4511" spans="1:4">
      <c r="A4511">
        <v>1.0103279999999999</v>
      </c>
      <c r="B4511">
        <v>3.876112</v>
      </c>
      <c r="C4511">
        <f>LOG10(1.010328)</f>
        <v>4.4623890943303289E-3</v>
      </c>
      <c r="D4511">
        <f>LOG10(3.876112)</f>
        <v>0.58839631747037568</v>
      </c>
    </row>
    <row r="4512" spans="1:4">
      <c r="A4512">
        <v>1.0068360000000001</v>
      </c>
      <c r="B4512">
        <v>4.0553790000000003</v>
      </c>
      <c r="C4512">
        <f>LOG10(1.006836)</f>
        <v>2.9587356028180842E-3</v>
      </c>
      <c r="D4512">
        <f>LOG10(4.055379)</f>
        <v>0.60803144792253228</v>
      </c>
    </row>
    <row r="4513" spans="1:4">
      <c r="A4513">
        <v>1.0408029999999999</v>
      </c>
      <c r="B4513">
        <v>3.807239</v>
      </c>
      <c r="C4513">
        <f>LOG10(1.040803)</f>
        <v>1.7368535361339185E-2</v>
      </c>
      <c r="D4513">
        <f>LOG10(3.807239)</f>
        <v>0.58061014057144367</v>
      </c>
    </row>
    <row r="4514" spans="1:4">
      <c r="A4514">
        <v>1.0195419999999999</v>
      </c>
      <c r="B4514">
        <v>4.0678710000000002</v>
      </c>
      <c r="C4514">
        <f>LOG10(1.019542)</f>
        <v>8.4051212299303246E-3</v>
      </c>
      <c r="D4514">
        <f>LOG10(4.067871)</f>
        <v>0.60936717215717939</v>
      </c>
    </row>
    <row r="4515" spans="1:4">
      <c r="A4515">
        <v>1.020324</v>
      </c>
      <c r="B4515">
        <v>1.7704569999999999</v>
      </c>
      <c r="C4515">
        <f>LOG10(1.020324)</f>
        <v>8.7381022213146239E-3</v>
      </c>
      <c r="D4515">
        <f>LOG10(1.770457)</f>
        <v>0.24808538328870733</v>
      </c>
    </row>
    <row r="4516" spans="1:4">
      <c r="A4516">
        <v>1.017844</v>
      </c>
      <c r="B4516">
        <v>3.8080259999999999</v>
      </c>
      <c r="C4516">
        <f>LOG10(1.017844)</f>
        <v>7.6812208978287938E-3</v>
      </c>
      <c r="D4516">
        <f>LOG10(3.808026)</f>
        <v>0.58069990494825119</v>
      </c>
    </row>
    <row r="4517" spans="1:4">
      <c r="A4517">
        <v>1.022346</v>
      </c>
      <c r="B4517">
        <v>4.0800140000000003</v>
      </c>
      <c r="C4517">
        <f>LOG10(1.022346)</f>
        <v>9.5979021197112949E-3</v>
      </c>
      <c r="D4517">
        <f>LOG10(4.080014)</f>
        <v>0.61066165331348665</v>
      </c>
    </row>
    <row r="4518" spans="1:4">
      <c r="A4518">
        <v>1.0245</v>
      </c>
      <c r="B4518">
        <v>3.9656250000000002</v>
      </c>
      <c r="C4518">
        <f>LOG10(1.0245)</f>
        <v>1.0511962737213791E-2</v>
      </c>
      <c r="D4518">
        <f>LOG10(3.965625)</f>
        <v>0.59831164377479884</v>
      </c>
    </row>
    <row r="4519" spans="1:4">
      <c r="A4519">
        <v>1.0268600000000001</v>
      </c>
      <c r="B4519">
        <v>3.911225</v>
      </c>
      <c r="C4519">
        <f>LOG10(1.02686)</f>
        <v>1.1511236808538383E-2</v>
      </c>
      <c r="D4519">
        <f>LOG10(3.911225)</f>
        <v>0.59231280021388621</v>
      </c>
    </row>
    <row r="4520" spans="1:4">
      <c r="A4520">
        <v>1.021196</v>
      </c>
      <c r="B4520">
        <v>3.5083289999999998</v>
      </c>
      <c r="C4520">
        <f>LOG10(1.021196)</f>
        <v>9.1091050145767315E-3</v>
      </c>
      <c r="D4520">
        <f>LOG10(3.508329)</f>
        <v>0.5451003133669744</v>
      </c>
    </row>
    <row r="4521" spans="1:4">
      <c r="A4521">
        <v>1.0127159999999999</v>
      </c>
      <c r="B4521">
        <v>3.4680399999999998</v>
      </c>
      <c r="C4521">
        <f>LOG10(1.012716)</f>
        <v>5.4876714949719275E-3</v>
      </c>
      <c r="D4521">
        <f>LOG10(3.46804)</f>
        <v>0.54008409793885936</v>
      </c>
    </row>
    <row r="4522" spans="1:4">
      <c r="A4522">
        <v>1.0325340000000001</v>
      </c>
      <c r="B4522">
        <v>3.7497880000000001</v>
      </c>
      <c r="C4522">
        <f>LOG10(1.032534)</f>
        <v>1.3904361315624383E-2</v>
      </c>
      <c r="D4522">
        <f>LOG10(3.749788)</f>
        <v>0.57400671491897604</v>
      </c>
    </row>
    <row r="4523" spans="1:4">
      <c r="A4523">
        <v>1.018834</v>
      </c>
      <c r="B4523">
        <v>3.8707590000000001</v>
      </c>
      <c r="C4523">
        <f>LOG10(1.018834)</f>
        <v>8.1034295836859838E-3</v>
      </c>
      <c r="D4523">
        <f>LOG10(3.870759)</f>
        <v>0.58779613225194915</v>
      </c>
    </row>
    <row r="4524" spans="1:4">
      <c r="A4524">
        <v>1.021577</v>
      </c>
      <c r="B4524">
        <v>3.6849889999999998</v>
      </c>
      <c r="C4524">
        <f>LOG10(1.021577)</f>
        <v>9.2711065678807783E-3</v>
      </c>
      <c r="D4524">
        <f>LOG10(3.684989)</f>
        <v>0.56643619579169679</v>
      </c>
    </row>
    <row r="4525" spans="1:4">
      <c r="A4525">
        <v>1.020135</v>
      </c>
      <c r="B4525">
        <v>3.7311700000000001</v>
      </c>
      <c r="C4525">
        <f>LOG10(1.020135)</f>
        <v>8.6576481104361832E-3</v>
      </c>
      <c r="D4525">
        <f>LOG10(3.73117)</f>
        <v>0.57184503686714139</v>
      </c>
    </row>
    <row r="4526" spans="1:4">
      <c r="A4526">
        <v>1.0168809999999999</v>
      </c>
      <c r="B4526">
        <v>3.6351900000000001</v>
      </c>
      <c r="C4526">
        <f>LOG10(1.016881)</f>
        <v>7.270132797667965E-3</v>
      </c>
      <c r="D4526">
        <f>LOG10(3.63519)</f>
        <v>0.56052711500113617</v>
      </c>
    </row>
    <row r="4527" spans="1:4">
      <c r="A4527">
        <v>1.0139860000000001</v>
      </c>
      <c r="B4527">
        <v>3.6666259999999999</v>
      </c>
      <c r="C4527">
        <f>LOG10(1.013986)</f>
        <v>6.0319587796443478E-3</v>
      </c>
      <c r="D4527">
        <f>LOG10(3.666626)</f>
        <v>0.56426661369123399</v>
      </c>
    </row>
    <row r="4528" spans="1:4">
      <c r="A4528">
        <v>1.0123850000000001</v>
      </c>
      <c r="B4528">
        <v>3.9340950000000001</v>
      </c>
      <c r="C4528">
        <f>LOG10(1.012385)</f>
        <v>5.3457018107042845E-3</v>
      </c>
      <c r="D4528">
        <f>LOG10(3.934095)</f>
        <v>0.59484484299501872</v>
      </c>
    </row>
    <row r="4529" spans="1:4">
      <c r="A4529">
        <v>1.015736</v>
      </c>
      <c r="B4529">
        <v>4.4410239999999996</v>
      </c>
      <c r="C4529">
        <f>LOG10(1.015736)</f>
        <v>6.7808451115203899E-3</v>
      </c>
      <c r="D4529">
        <f>LOG10(4.441024)</f>
        <v>0.64748312017646847</v>
      </c>
    </row>
    <row r="4530" spans="1:4">
      <c r="A4530">
        <v>1.0243119999999999</v>
      </c>
      <c r="B4530">
        <v>4.5221819999999999</v>
      </c>
      <c r="C4530">
        <f>LOG10(1.024312)</f>
        <v>1.043226058511101E-2</v>
      </c>
      <c r="D4530">
        <f>LOG10(4.522182)</f>
        <v>0.65534803700207167</v>
      </c>
    </row>
    <row r="4531" spans="1:4">
      <c r="A4531">
        <v>1.020545</v>
      </c>
      <c r="B4531">
        <v>4.6359069999999996</v>
      </c>
      <c r="C4531">
        <f>LOG10(1.020545)</f>
        <v>8.8321592929598725E-3</v>
      </c>
      <c r="D4531">
        <f>LOG10(4.635907)</f>
        <v>0.66613471508449706</v>
      </c>
    </row>
    <row r="4532" spans="1:4">
      <c r="A4532">
        <v>1.023676</v>
      </c>
      <c r="B4532">
        <v>4.6351120000000003</v>
      </c>
      <c r="C4532">
        <f>LOG10(1.023676)</f>
        <v>1.0162521407567271E-2</v>
      </c>
      <c r="D4532">
        <f>LOG10(4.635112)</f>
        <v>0.66606023263246905</v>
      </c>
    </row>
    <row r="4533" spans="1:4">
      <c r="A4533">
        <v>1.014578</v>
      </c>
      <c r="B4533">
        <v>4.5196339999999999</v>
      </c>
      <c r="C4533">
        <f>LOG10(1.014578)</f>
        <v>6.2854408887476161E-3</v>
      </c>
      <c r="D4533">
        <f>LOG10(4.519634)</f>
        <v>0.65510326706444377</v>
      </c>
    </row>
    <row r="4534" spans="1:4">
      <c r="A4534">
        <v>1.0183770000000001</v>
      </c>
      <c r="B4534">
        <v>4.4485260000000002</v>
      </c>
      <c r="C4534">
        <f>LOG10(1.018377)</f>
        <v>7.9085822344826338E-3</v>
      </c>
      <c r="D4534">
        <f>LOG10(4.448526)</f>
        <v>0.64821613320338056</v>
      </c>
    </row>
    <row r="4535" spans="1:4">
      <c r="A4535">
        <v>1.024273</v>
      </c>
      <c r="B4535">
        <v>4.571034</v>
      </c>
      <c r="C4535">
        <f>LOG10(1.024273)</f>
        <v>1.041572479597243E-2</v>
      </c>
      <c r="D4535">
        <f>LOG10(4.571034)</f>
        <v>0.66001445164537287</v>
      </c>
    </row>
    <row r="4536" spans="1:4">
      <c r="A4536">
        <v>1.0196069999999999</v>
      </c>
      <c r="B4536">
        <v>4.3642979999999998</v>
      </c>
      <c r="C4536">
        <f>LOG10(1.019607)</f>
        <v>8.4328084085850113E-3</v>
      </c>
      <c r="D4536">
        <f>LOG10(4.364298)</f>
        <v>0.63991439712643972</v>
      </c>
    </row>
    <row r="4537" spans="1:4">
      <c r="A4537">
        <v>1.0299499999999999</v>
      </c>
      <c r="B4537">
        <v>4.4116960000000001</v>
      </c>
      <c r="C4537">
        <f>LOG10(1.02995)</f>
        <v>1.2816141937047288E-2</v>
      </c>
      <c r="D4537">
        <f>LOG10(4.411696)</f>
        <v>0.64460557854802958</v>
      </c>
    </row>
    <row r="4538" spans="1:4">
      <c r="A4538">
        <v>1.021604</v>
      </c>
      <c r="B4538">
        <v>4.4941800000000001</v>
      </c>
      <c r="C4538">
        <f>LOG10(1.021604)</f>
        <v>9.2825847002753828E-3</v>
      </c>
      <c r="D4538">
        <f>LOG10(4.49418)</f>
        <v>0.6526504627073284</v>
      </c>
    </row>
    <row r="4539" spans="1:4">
      <c r="A4539">
        <v>1.019865</v>
      </c>
      <c r="B4539">
        <v>4.5788700000000002</v>
      </c>
      <c r="C4539">
        <f>LOG10(1.019865)</f>
        <v>8.542687805731709E-3</v>
      </c>
      <c r="D4539">
        <f>LOG10(4.57887)</f>
        <v>0.66075831352461778</v>
      </c>
    </row>
    <row r="4540" spans="1:4">
      <c r="A4540">
        <v>1.0240579999999999</v>
      </c>
      <c r="B4540">
        <v>4.5911460000000002</v>
      </c>
      <c r="C4540">
        <f>LOG10(1.024058)</f>
        <v>1.0324554654084092E-2</v>
      </c>
      <c r="D4540">
        <f>LOG10(4.591146)</f>
        <v>0.66192110369744428</v>
      </c>
    </row>
    <row r="4541" spans="1:4">
      <c r="A4541">
        <v>1.0183</v>
      </c>
      <c r="B4541">
        <v>4.7103859999999997</v>
      </c>
      <c r="C4541">
        <f>LOG10(1.0183)</f>
        <v>7.8757437675853019E-3</v>
      </c>
      <c r="D4541">
        <f>LOG10(4.710386)</f>
        <v>0.6730564975325396</v>
      </c>
    </row>
    <row r="4542" spans="1:4">
      <c r="A4542">
        <v>1.030184</v>
      </c>
      <c r="B4542">
        <v>4.8702389999999998</v>
      </c>
      <c r="C4542">
        <f>LOG10(1.030184)</f>
        <v>1.2914800479843464E-2</v>
      </c>
      <c r="D4542">
        <f>LOG10(4.870239)</f>
        <v>0.68755027411695546</v>
      </c>
    </row>
    <row r="4543" spans="1:4">
      <c r="A4543">
        <v>1.024643</v>
      </c>
      <c r="B4543">
        <v>4.4522349999999999</v>
      </c>
      <c r="C4543">
        <f>LOG10(1.024643)</f>
        <v>1.0572577453720138E-2</v>
      </c>
      <c r="D4543">
        <f>LOG10(4.452235)</f>
        <v>0.64857807940699486</v>
      </c>
    </row>
    <row r="4544" spans="1:4">
      <c r="A4544">
        <v>1.0251589999999999</v>
      </c>
      <c r="B4544">
        <v>3.8378890000000001</v>
      </c>
      <c r="C4544">
        <f>LOG10(1.025159)</f>
        <v>1.0791228774575152E-2</v>
      </c>
      <c r="D4544">
        <f>LOG10(3.837889)</f>
        <v>0.5840924098510929</v>
      </c>
    </row>
    <row r="4545" spans="1:4">
      <c r="A4545">
        <v>1.0164059999999999</v>
      </c>
      <c r="B4545">
        <v>3.6555719999999998</v>
      </c>
      <c r="C4545">
        <f>LOG10(1.016406)</f>
        <v>7.0672200926176999E-3</v>
      </c>
      <c r="D4545">
        <f>LOG10(3.655572)</f>
        <v>0.56295534217140175</v>
      </c>
    </row>
    <row r="4546" spans="1:4">
      <c r="A4546">
        <v>1.0262039999999999</v>
      </c>
      <c r="B4546">
        <v>3.6974049999999998</v>
      </c>
      <c r="C4546">
        <f>LOG10(1.026204)</f>
        <v>1.1233703141956033E-2</v>
      </c>
      <c r="D4546">
        <f>LOG10(3.697405)</f>
        <v>0.56789702418189525</v>
      </c>
    </row>
    <row r="4547" spans="1:4">
      <c r="A4547">
        <v>1.042171</v>
      </c>
      <c r="B4547">
        <v>3.772853</v>
      </c>
      <c r="C4547">
        <f>LOG10(1.042171)</f>
        <v>1.793898409153219E-2</v>
      </c>
      <c r="D4547">
        <f>LOG10(3.772853)</f>
        <v>0.57666988430713562</v>
      </c>
    </row>
    <row r="4548" spans="1:4">
      <c r="A4548">
        <v>1.0203580000000001</v>
      </c>
      <c r="B4548">
        <v>3.7649189999999999</v>
      </c>
      <c r="C4548">
        <f>LOG10(1.020358)</f>
        <v>8.7525738659766684E-3</v>
      </c>
      <c r="D4548">
        <f>LOG10(3.764919)</f>
        <v>0.57575563704895127</v>
      </c>
    </row>
    <row r="4549" spans="1:4">
      <c r="A4549">
        <v>1.0146729999999999</v>
      </c>
      <c r="B4549">
        <v>3.734769</v>
      </c>
      <c r="C4549">
        <f>LOG10(1.014673)</f>
        <v>6.3261041441171409E-3</v>
      </c>
      <c r="D4549">
        <f>LOG10(3.734769)</f>
        <v>0.57226374534076829</v>
      </c>
    </row>
    <row r="4550" spans="1:4">
      <c r="A4550">
        <v>1.0154540000000001</v>
      </c>
      <c r="B4550">
        <v>3.856287</v>
      </c>
      <c r="C4550">
        <f>LOG10(1.015454)</f>
        <v>6.6602546746990666E-3</v>
      </c>
      <c r="D4550">
        <f>LOG10(3.856287)</f>
        <v>0.5861693483319339</v>
      </c>
    </row>
    <row r="4551" spans="1:4">
      <c r="A4551">
        <v>1.153837</v>
      </c>
      <c r="B4551">
        <v>4.6681340000000002</v>
      </c>
      <c r="C4551">
        <f>LOG10(1.153837)</f>
        <v>6.2144461332287869E-2</v>
      </c>
      <c r="D4551">
        <f>LOG10(4.668134)</f>
        <v>0.66914331408826599</v>
      </c>
    </row>
    <row r="4552" spans="1:4">
      <c r="A4552">
        <v>1.163513</v>
      </c>
      <c r="B4552">
        <v>4.8325389999999997</v>
      </c>
      <c r="C4552">
        <f>LOG10(1.163513)</f>
        <v>6.5771240047952054E-2</v>
      </c>
      <c r="D4552">
        <f>LOG10(4.832539)</f>
        <v>0.68417536759794162</v>
      </c>
    </row>
    <row r="4553" spans="1:4">
      <c r="A4553">
        <v>1.0095209999999999</v>
      </c>
      <c r="B4553">
        <v>4.8478940000000001</v>
      </c>
      <c r="C4553">
        <f>LOG10(1.009521)</f>
        <v>4.1153575434128981E-3</v>
      </c>
      <c r="D4553">
        <f>LOG10(4.847894)</f>
        <v>0.68555311534173602</v>
      </c>
    </row>
    <row r="4554" spans="1:4">
      <c r="A4554">
        <v>1.01247</v>
      </c>
      <c r="B4554">
        <v>4.8593349999999997</v>
      </c>
      <c r="C4554">
        <f>LOG10(1.01247)</f>
        <v>5.3821637114165946E-3</v>
      </c>
      <c r="D4554">
        <f>LOG10(4.859335)</f>
        <v>0.68657684012832143</v>
      </c>
    </row>
    <row r="4555" spans="1:4">
      <c r="A4555">
        <v>1.0049170000000001</v>
      </c>
      <c r="B4555">
        <v>4.9417330000000002</v>
      </c>
      <c r="C4555">
        <f>LOG10(1.004917)</f>
        <v>2.1301931688809893E-3</v>
      </c>
      <c r="D4555">
        <f>LOG10(4.941733)</f>
        <v>0.69387927693025353</v>
      </c>
    </row>
    <row r="4556" spans="1:4">
      <c r="A4556">
        <v>1.0118210000000001</v>
      </c>
      <c r="B4556">
        <v>4.5312419999999998</v>
      </c>
      <c r="C4556">
        <f>LOG10(1.011821)</f>
        <v>5.1036888000403468E-3</v>
      </c>
      <c r="D4556">
        <f>LOG10(4.531242)</f>
        <v>0.65621725715999635</v>
      </c>
    </row>
    <row r="4557" spans="1:4">
      <c r="A4557">
        <v>1.038513</v>
      </c>
      <c r="B4557">
        <v>3.8955190000000002</v>
      </c>
      <c r="C4557">
        <f>LOG10(1.038513)</f>
        <v>1.6411937359252393E-2</v>
      </c>
      <c r="D4557">
        <f>LOG10(3.895519)</f>
        <v>0.59056532691756847</v>
      </c>
    </row>
    <row r="4558" spans="1:4">
      <c r="A4558">
        <v>1.01634</v>
      </c>
      <c r="B4558">
        <v>3.9645009999999998</v>
      </c>
      <c r="C4558">
        <f>LOG10(1.01634)</f>
        <v>7.0390184030651014E-3</v>
      </c>
      <c r="D4558">
        <f>LOG10(3.964501)</f>
        <v>0.59818853173321751</v>
      </c>
    </row>
    <row r="4559" spans="1:4">
      <c r="A4559">
        <v>1.010413</v>
      </c>
      <c r="B4559">
        <v>4.2663310000000001</v>
      </c>
      <c r="C4559">
        <f>LOG10(1.010413)</f>
        <v>4.4989252273464819E-3</v>
      </c>
      <c r="D4559">
        <f>LOG10(4.266331)</f>
        <v>0.63005454682296036</v>
      </c>
    </row>
    <row r="4560" spans="1:4">
      <c r="A4560">
        <v>1.0187820000000001</v>
      </c>
      <c r="B4560">
        <v>4.0039470000000001</v>
      </c>
      <c r="C4560">
        <f>LOG10(1.018782)</f>
        <v>8.0812631764101816E-3</v>
      </c>
      <c r="D4560">
        <f>LOG10(4.003947)</f>
        <v>0.60248832011600195</v>
      </c>
    </row>
    <row r="4561" spans="1:4">
      <c r="A4561">
        <v>1.004211</v>
      </c>
      <c r="B4561">
        <v>2.1226250000000002</v>
      </c>
      <c r="C4561">
        <f>LOG10(1.004211)</f>
        <v>1.8249742710867091E-3</v>
      </c>
      <c r="D4561">
        <f>LOG10(2.122625)</f>
        <v>0.32687327498748581</v>
      </c>
    </row>
    <row r="4562" spans="1:4">
      <c r="A4562">
        <v>1.012618</v>
      </c>
      <c r="B4562">
        <v>3.8055759999999998</v>
      </c>
      <c r="C4562">
        <f>LOG10(1.012618)</f>
        <v>5.4456430105247157E-3</v>
      </c>
      <c r="D4562">
        <f>LOG10(3.805576)</f>
        <v>0.58042039952693036</v>
      </c>
    </row>
    <row r="4563" spans="1:4">
      <c r="A4563">
        <v>1.0288630000000001</v>
      </c>
      <c r="B4563">
        <v>4.0771930000000003</v>
      </c>
      <c r="C4563">
        <f>LOG10(1.028863)</f>
        <v>1.2357549393000065E-2</v>
      </c>
      <c r="D4563">
        <f>LOG10(4.077193)</f>
        <v>0.61036126991453876</v>
      </c>
    </row>
    <row r="4564" spans="1:4">
      <c r="A4564">
        <v>1.012553</v>
      </c>
      <c r="B4564">
        <v>1.845345</v>
      </c>
      <c r="C4564">
        <f>LOG10(1.012553)</f>
        <v>5.4177647312748179E-3</v>
      </c>
      <c r="D4564">
        <f>LOG10(1.845345)</f>
        <v>0.26607757244053043</v>
      </c>
    </row>
    <row r="4565" spans="1:4">
      <c r="A4565">
        <v>1.0694570000000001</v>
      </c>
      <c r="B4565">
        <v>3.8915259999999998</v>
      </c>
      <c r="C4565">
        <f>LOG10(1.069457)</f>
        <v>2.9163327441304784E-2</v>
      </c>
      <c r="D4565">
        <f>LOG10(3.891526)</f>
        <v>0.59011993639568761</v>
      </c>
    </row>
    <row r="4566" spans="1:4">
      <c r="A4566">
        <v>1.0070749999999999</v>
      </c>
      <c r="B4566">
        <v>3.8421240000000001</v>
      </c>
      <c r="C4566">
        <f>LOG10(1.007075)</f>
        <v>3.0618150156244113E-3</v>
      </c>
      <c r="D4566">
        <f>LOG10(3.842124)</f>
        <v>0.58457137709171691</v>
      </c>
    </row>
    <row r="4567" spans="1:4">
      <c r="A4567">
        <v>1.0154030000000001</v>
      </c>
      <c r="B4567">
        <v>4.1041610000000004</v>
      </c>
      <c r="C4567">
        <f>LOG10(1.015403)</f>
        <v>6.6384421900369441E-3</v>
      </c>
      <c r="D4567">
        <f>LOG10(4.104161)</f>
        <v>0.61322438915057109</v>
      </c>
    </row>
    <row r="4568" spans="1:4">
      <c r="A4568">
        <v>1.005144</v>
      </c>
      <c r="B4568">
        <v>3.8875169999999999</v>
      </c>
      <c r="C4568">
        <f>LOG10(1.005144)</f>
        <v>2.2282845679093099E-3</v>
      </c>
      <c r="D4568">
        <f>LOG10(3.887517)</f>
        <v>0.58967230119632141</v>
      </c>
    </row>
    <row r="4569" spans="1:4">
      <c r="A4569">
        <v>1.0079610000000001</v>
      </c>
      <c r="B4569">
        <v>3.8107679999999999</v>
      </c>
      <c r="C4569">
        <f>LOG10(1.007961)</f>
        <v>3.4437287241272123E-3</v>
      </c>
      <c r="D4569">
        <f>LOG10(3.810768)</f>
        <v>0.58101250967828955</v>
      </c>
    </row>
    <row r="4570" spans="1:4">
      <c r="A4570">
        <v>1.0065379999999999</v>
      </c>
      <c r="B4570">
        <v>3.2168640000000002</v>
      </c>
      <c r="C4570">
        <f>LOG10(1.006538)</f>
        <v>2.8301755274895125E-3</v>
      </c>
      <c r="D4570">
        <f>LOG10(3.216864)</f>
        <v>0.50743270053577383</v>
      </c>
    </row>
    <row r="4571" spans="1:4">
      <c r="A4571">
        <v>1.0080610000000001</v>
      </c>
      <c r="B4571">
        <v>3.7651309999999998</v>
      </c>
      <c r="C4571">
        <f>LOG10(1.008061)</f>
        <v>3.4868130240266562E-3</v>
      </c>
      <c r="D4571">
        <f>LOG10(3.765131)</f>
        <v>0.5757800911840999</v>
      </c>
    </row>
    <row r="4572" spans="1:4">
      <c r="A4572">
        <v>1.004613</v>
      </c>
      <c r="B4572">
        <v>3.7156820000000002</v>
      </c>
      <c r="C4572">
        <f>LOG10(1.004613)</f>
        <v>1.9987937635416557E-3</v>
      </c>
      <c r="D4572">
        <f>LOG10(3.715682)</f>
        <v>0.57003853859532883</v>
      </c>
    </row>
    <row r="4573" spans="1:4">
      <c r="A4573">
        <v>1.0073000000000001</v>
      </c>
      <c r="B4573">
        <v>3.6869499999999999</v>
      </c>
      <c r="C4573">
        <f>LOG10(1.0073)</f>
        <v>3.158833950862062E-3</v>
      </c>
      <c r="D4573">
        <f>LOG10(3.68695)</f>
        <v>0.5666672480288627</v>
      </c>
    </row>
    <row r="4574" spans="1:4">
      <c r="A4574">
        <v>1.0061420000000001</v>
      </c>
      <c r="B4574">
        <v>3.6325419999999999</v>
      </c>
      <c r="C4574">
        <f>LOG10(1.006142)</f>
        <v>2.6592783982361465E-3</v>
      </c>
      <c r="D4574">
        <f>LOG10(3.632542)</f>
        <v>0.56021064437757206</v>
      </c>
    </row>
    <row r="4575" spans="1:4">
      <c r="A4575">
        <v>1.0094510000000001</v>
      </c>
      <c r="B4575">
        <v>3.6186799999999999</v>
      </c>
      <c r="C4575">
        <f>LOG10(1.009451)</f>
        <v>4.0852426000205985E-3</v>
      </c>
      <c r="D4575">
        <f>LOG10(3.61868)</f>
        <v>0.55855018012981406</v>
      </c>
    </row>
    <row r="4576" spans="1:4">
      <c r="A4576">
        <v>1.0098</v>
      </c>
      <c r="B4576">
        <v>3.6139209999999999</v>
      </c>
      <c r="C4576">
        <f>LOG10(1.0098)</f>
        <v>4.2353663594674896E-3</v>
      </c>
      <c r="D4576">
        <f>LOG10(3.613921)</f>
        <v>0.55797865468892349</v>
      </c>
    </row>
    <row r="4577" spans="1:4">
      <c r="A4577">
        <v>1.00926</v>
      </c>
      <c r="B4577">
        <v>3.7267649999999999</v>
      </c>
      <c r="C4577">
        <f>LOG10(1.00926)</f>
        <v>4.0030612018005793E-3</v>
      </c>
      <c r="D4577">
        <f>LOG10(3.726765)</f>
        <v>0.57133200814933949</v>
      </c>
    </row>
    <row r="4578" spans="1:4">
      <c r="A4578">
        <v>1.0141849999999999</v>
      </c>
      <c r="B4578">
        <v>4.2001419999999996</v>
      </c>
      <c r="C4578">
        <f>LOG10(1.014185)</f>
        <v>6.1171829566748024E-3</v>
      </c>
      <c r="D4578">
        <f>LOG10(4.200142)</f>
        <v>0.62326397343931472</v>
      </c>
    </row>
    <row r="4579" spans="1:4">
      <c r="A4579">
        <v>1.031409</v>
      </c>
      <c r="B4579">
        <v>4.5103970000000002</v>
      </c>
      <c r="C4579">
        <f>LOG10(1.031409)</f>
        <v>1.3430916709326828E-2</v>
      </c>
      <c r="D4579">
        <f>LOG10(4.510397)</f>
        <v>0.65421476966536873</v>
      </c>
    </row>
    <row r="4580" spans="1:4">
      <c r="A4580">
        <v>1.025768</v>
      </c>
      <c r="B4580">
        <v>4.5312720000000004</v>
      </c>
      <c r="C4580">
        <f>LOG10(1.025768)</f>
        <v>1.1049146630503305E-2</v>
      </c>
      <c r="D4580">
        <f>LOG10(4.531272)</f>
        <v>0.65622013248453825</v>
      </c>
    </row>
    <row r="4581" spans="1:4">
      <c r="A4581">
        <v>1.0283009999999999</v>
      </c>
      <c r="B4581">
        <v>4.5352329999999998</v>
      </c>
      <c r="C4581">
        <f>LOG10(1.028301)</f>
        <v>1.2120258146505634E-2</v>
      </c>
      <c r="D4581">
        <f>LOG10(4.535233)</f>
        <v>0.65659960407855689</v>
      </c>
    </row>
    <row r="4582" spans="1:4">
      <c r="A4582">
        <v>1.0168809999999999</v>
      </c>
      <c r="B4582">
        <v>4.4931179999999999</v>
      </c>
      <c r="C4582">
        <f>LOG10(1.016881)</f>
        <v>7.270132797667965E-3</v>
      </c>
      <c r="D4582">
        <f>LOG10(4.493118)</f>
        <v>0.65254782435219028</v>
      </c>
    </row>
    <row r="4583" spans="1:4">
      <c r="A4583">
        <v>1.0144820000000001</v>
      </c>
      <c r="B4583">
        <v>4.3286809999999996</v>
      </c>
      <c r="C4583">
        <f>LOG10(1.014482)</f>
        <v>6.2443457310945487E-3</v>
      </c>
      <c r="D4583">
        <f>LOG10(4.328681)</f>
        <v>0.63635558187589214</v>
      </c>
    </row>
    <row r="4584" spans="1:4">
      <c r="A4584">
        <v>1.020947</v>
      </c>
      <c r="B4584">
        <v>4.43283</v>
      </c>
      <c r="C4584">
        <f>LOG10(1.020947)</f>
        <v>9.0031973219912558E-3</v>
      </c>
      <c r="D4584">
        <f>LOG10(4.43283)</f>
        <v>0.64668107633032823</v>
      </c>
    </row>
    <row r="4585" spans="1:4">
      <c r="A4585">
        <v>1.029998</v>
      </c>
      <c r="B4585">
        <v>4.34354</v>
      </c>
      <c r="C4585">
        <f>LOG10(1.029998)</f>
        <v>1.2836381414097341E-2</v>
      </c>
      <c r="D4585">
        <f>LOG10(4.34354)</f>
        <v>0.63784382531931438</v>
      </c>
    </row>
    <row r="4586" spans="1:4">
      <c r="A4586">
        <v>1.0376320000000001</v>
      </c>
      <c r="B4586">
        <v>4.2152779999999996</v>
      </c>
      <c r="C4586">
        <f>LOG10(1.037632)</f>
        <v>1.6043356685434135E-2</v>
      </c>
      <c r="D4586">
        <f>LOG10(4.215278)</f>
        <v>0.62482622187526826</v>
      </c>
    </row>
    <row r="4587" spans="1:4">
      <c r="A4587">
        <v>1.024831</v>
      </c>
      <c r="B4587">
        <v>4.4159519999999999</v>
      </c>
      <c r="C4587">
        <f>LOG10(1.024831)</f>
        <v>1.0652253861253831E-2</v>
      </c>
      <c r="D4587">
        <f>LOG10(4.415952)</f>
        <v>0.64502434410329235</v>
      </c>
    </row>
    <row r="4588" spans="1:4">
      <c r="A4588">
        <v>1.015962</v>
      </c>
      <c r="B4588">
        <v>4.4247249999999996</v>
      </c>
      <c r="C4588">
        <f>LOG10(1.015962)</f>
        <v>6.8774643465789355E-3</v>
      </c>
      <c r="D4588">
        <f>LOG10(4.424725)</f>
        <v>0.64588628414258786</v>
      </c>
    </row>
    <row r="4589" spans="1:4">
      <c r="A4589">
        <v>1.0224930000000001</v>
      </c>
      <c r="B4589">
        <v>4.506697</v>
      </c>
      <c r="C4589">
        <f>LOG10(1.022493)</f>
        <v>9.6603435040450297E-3</v>
      </c>
      <c r="D4589">
        <f>LOG10(4.506697)</f>
        <v>0.65385836001205311</v>
      </c>
    </row>
    <row r="4590" spans="1:4">
      <c r="A4590">
        <v>1.015031</v>
      </c>
      <c r="B4590">
        <v>4.5490199999999996</v>
      </c>
      <c r="C4590">
        <f>LOG10(1.015031)</f>
        <v>6.4793062131219834E-3</v>
      </c>
      <c r="D4590">
        <f>LOG10(4.54902)</f>
        <v>0.65791784623214111</v>
      </c>
    </row>
    <row r="4591" spans="1:4">
      <c r="A4591">
        <v>1.0217849999999999</v>
      </c>
      <c r="B4591">
        <v>4.770797</v>
      </c>
      <c r="C4591">
        <f>LOG10(1.021785)</f>
        <v>9.3595228666549322E-3</v>
      </c>
      <c r="D4591">
        <f>LOG10(4.770797)</f>
        <v>0.67859093748630706</v>
      </c>
    </row>
    <row r="4592" spans="1:4">
      <c r="A4592">
        <v>1.0156149999999999</v>
      </c>
      <c r="B4592">
        <v>4.5834640000000002</v>
      </c>
      <c r="C4592">
        <f>LOG10(1.015615)</f>
        <v>6.7291065076331633E-3</v>
      </c>
      <c r="D4592">
        <f>LOG10(4.583464)</f>
        <v>0.66119382461099785</v>
      </c>
    </row>
    <row r="4593" spans="1:4">
      <c r="A4593">
        <v>1.0257879999999999</v>
      </c>
      <c r="B4593">
        <v>3.908973</v>
      </c>
      <c r="C4593">
        <f>LOG10(1.025788)</f>
        <v>1.1057614242051126E-2</v>
      </c>
      <c r="D4593">
        <f>LOG10(3.908973)</f>
        <v>0.59206267069023943</v>
      </c>
    </row>
    <row r="4594" spans="1:4">
      <c r="A4594">
        <v>1.011522</v>
      </c>
      <c r="B4594">
        <v>3.692777</v>
      </c>
      <c r="C4594">
        <f>LOG10(1.011522)</f>
        <v>4.9753328554137327E-3</v>
      </c>
      <c r="D4594">
        <f>LOG10(3.692777)</f>
        <v>0.56735308219914238</v>
      </c>
    </row>
    <row r="4595" spans="1:4">
      <c r="A4595">
        <v>1.010216</v>
      </c>
      <c r="B4595">
        <v>3.6122160000000001</v>
      </c>
      <c r="C4595">
        <f>LOG10(1.010216)</f>
        <v>4.4142426723539361E-3</v>
      </c>
      <c r="D4595">
        <f>LOG10(3.612216)</f>
        <v>0.55777371196354031</v>
      </c>
    </row>
    <row r="4596" spans="1:4">
      <c r="A4596">
        <v>1.022759</v>
      </c>
      <c r="B4596">
        <v>3.6759539999999999</v>
      </c>
      <c r="C4596">
        <f>LOG10(1.022759)</f>
        <v>9.7733098601102599E-3</v>
      </c>
      <c r="D4596">
        <f>LOG10(3.675954)</f>
        <v>0.56537006809188539</v>
      </c>
    </row>
    <row r="4597" spans="1:4">
      <c r="A4597">
        <v>1.015595</v>
      </c>
      <c r="B4597">
        <v>3.767468</v>
      </c>
      <c r="C4597">
        <f>LOG10(1.015595)</f>
        <v>6.7205540786491524E-3</v>
      </c>
      <c r="D4597">
        <f>LOG10(3.767468)</f>
        <v>0.57604957220566311</v>
      </c>
    </row>
    <row r="4598" spans="1:4">
      <c r="A4598">
        <v>1.0090619999999999</v>
      </c>
      <c r="B4598">
        <v>3.6298689999999998</v>
      </c>
      <c r="C4598">
        <f>LOG10(1.009062)</f>
        <v>3.9178515001843271E-3</v>
      </c>
      <c r="D4598">
        <f>LOG10(3.629869)</f>
        <v>0.55989095186704141</v>
      </c>
    </row>
    <row r="4599" spans="1:4">
      <c r="A4599">
        <v>1.0069429999999999</v>
      </c>
      <c r="B4599">
        <v>3.7006450000000002</v>
      </c>
      <c r="C4599">
        <f>LOG10(1.006943)</f>
        <v>3.0048871513319152E-3</v>
      </c>
      <c r="D4599">
        <f>LOG10(3.700645)</f>
        <v>0.56827742556099636</v>
      </c>
    </row>
    <row r="4600" spans="1:4">
      <c r="A4600">
        <v>1.013684</v>
      </c>
      <c r="B4600">
        <v>4.9282620000000001</v>
      </c>
      <c r="C4600">
        <f>LOG10(1.013684)</f>
        <v>5.9025916395233141E-3</v>
      </c>
      <c r="D4600">
        <f>LOG10(4.928262)</f>
        <v>0.69269378806254578</v>
      </c>
    </row>
    <row r="4601" spans="1:4">
      <c r="A4601">
        <v>1.1011789999999999</v>
      </c>
      <c r="B4601">
        <v>5.365494</v>
      </c>
      <c r="C4601">
        <f>LOG10(1.101179)</f>
        <v>4.1857920600803587E-2</v>
      </c>
      <c r="D4601">
        <f>LOG10(5.365494)</f>
        <v>0.72960971355217696</v>
      </c>
    </row>
    <row r="4602" spans="1:4">
      <c r="A4602">
        <v>1.0120439999999999</v>
      </c>
      <c r="B4602">
        <v>5.5296519999999996</v>
      </c>
      <c r="C4602">
        <f>LOG10(1.012044)</f>
        <v>5.1993944620843079E-3</v>
      </c>
      <c r="D4602">
        <f>LOG10(5.529652)</f>
        <v>0.74269780052073642</v>
      </c>
    </row>
    <row r="4603" spans="1:4">
      <c r="A4603">
        <v>1.0180089999999999</v>
      </c>
      <c r="B4603">
        <v>5.5245629999999997</v>
      </c>
      <c r="C4603">
        <f>LOG10(1.018009)</f>
        <v>7.7516175224091773E-3</v>
      </c>
      <c r="D4603">
        <f>LOG10(5.524563)</f>
        <v>0.74229793046672676</v>
      </c>
    </row>
    <row r="4604" spans="1:4">
      <c r="A4604">
        <v>1.3894200000000001</v>
      </c>
      <c r="B4604">
        <v>5.6440020000000004</v>
      </c>
      <c r="C4604">
        <f>LOG10(1.38942)</f>
        <v>0.14283354603331513</v>
      </c>
      <c r="D4604">
        <f>LOG10(5.644002)</f>
        <v>0.75158715897827233</v>
      </c>
    </row>
    <row r="4605" spans="1:4">
      <c r="A4605">
        <v>1.0387729999999999</v>
      </c>
      <c r="B4605">
        <v>5.6154529999999996</v>
      </c>
      <c r="C4605">
        <f>LOG10(1.038773)</f>
        <v>1.6520652833081666E-2</v>
      </c>
      <c r="D4605">
        <f>LOG10(5.615453)</f>
        <v>0.74938479665531121</v>
      </c>
    </row>
    <row r="4606" spans="1:4">
      <c r="A4606">
        <v>1.0057560000000001</v>
      </c>
      <c r="B4606">
        <v>3.8453460000000002</v>
      </c>
      <c r="C4606">
        <f>LOG10(1.005756)</f>
        <v>2.4926321049632731E-3</v>
      </c>
      <c r="D4606">
        <f>LOG10(3.845346)</f>
        <v>0.58493542323501968</v>
      </c>
    </row>
    <row r="4607" spans="1:4">
      <c r="A4607">
        <v>1.013415</v>
      </c>
      <c r="B4607">
        <v>3.9967250000000001</v>
      </c>
      <c r="C4607">
        <f>LOG10(1.013415)</f>
        <v>5.7873281853774985E-3</v>
      </c>
      <c r="D4607">
        <f>LOG10(3.996725)</f>
        <v>0.60170426707640878</v>
      </c>
    </row>
    <row r="4608" spans="1:4">
      <c r="A4608">
        <v>1.131899</v>
      </c>
      <c r="B4608">
        <v>4.1609889999999998</v>
      </c>
      <c r="C4608">
        <f>LOG10(1.131899)</f>
        <v>5.3807676234224756E-2</v>
      </c>
      <c r="D4608">
        <f>LOG10(4.160989)</f>
        <v>0.61919656769258302</v>
      </c>
    </row>
    <row r="4609" spans="1:4">
      <c r="A4609">
        <v>1.0115689999999999</v>
      </c>
      <c r="B4609">
        <v>4.0697679999999998</v>
      </c>
      <c r="C4609">
        <f>LOG10(1.011569)</f>
        <v>4.9955117209744861E-3</v>
      </c>
      <c r="D4609">
        <f>LOG10(4.069768)</f>
        <v>0.60956965266708996</v>
      </c>
    </row>
    <row r="4610" spans="1:4">
      <c r="A4610">
        <v>1.0213669999999999</v>
      </c>
      <c r="B4610">
        <v>4.0575369999999999</v>
      </c>
      <c r="C4610">
        <f>LOG10(1.021367)</f>
        <v>9.1818218478679665E-3</v>
      </c>
      <c r="D4610">
        <f>LOG10(4.057537)</f>
        <v>0.60826248877493383</v>
      </c>
    </row>
    <row r="4611" spans="1:4">
      <c r="A4611">
        <v>1.031569</v>
      </c>
      <c r="B4611">
        <v>3.8934489999999999</v>
      </c>
      <c r="C4611">
        <f>LOG10(1.031569)</f>
        <v>1.3498282543808649E-2</v>
      </c>
      <c r="D4611">
        <f>LOG10(3.893449)</f>
        <v>0.59033449027818197</v>
      </c>
    </row>
    <row r="4612" spans="1:4">
      <c r="A4612">
        <v>1.0390470000000001</v>
      </c>
      <c r="B4612">
        <v>4.006837</v>
      </c>
      <c r="C4612">
        <f>LOG10(1.039047)</f>
        <v>1.6635192772760078E-2</v>
      </c>
      <c r="D4612">
        <f>LOG10(4.006837)</f>
        <v>0.60280167548974595</v>
      </c>
    </row>
    <row r="4613" spans="1:4">
      <c r="A4613">
        <v>1.0270010000000001</v>
      </c>
      <c r="B4613">
        <v>4.1273749999999998</v>
      </c>
      <c r="C4613">
        <f>LOG10(1.027001)</f>
        <v>1.1570866473880425E-2</v>
      </c>
      <c r="D4613">
        <f>LOG10(4.127375)</f>
        <v>0.61567392926801501</v>
      </c>
    </row>
    <row r="4614" spans="1:4">
      <c r="A4614">
        <v>1.0217259999999999</v>
      </c>
      <c r="B4614">
        <v>3.9624600000000001</v>
      </c>
      <c r="C4614">
        <f>LOG10(1.021726)</f>
        <v>9.3344450721733509E-3</v>
      </c>
      <c r="D4614">
        <f>LOG10(3.96246)</f>
        <v>0.59796489115843687</v>
      </c>
    </row>
    <row r="4615" spans="1:4">
      <c r="A4615">
        <v>1.0201579999999999</v>
      </c>
      <c r="B4615">
        <v>4.0969449999999998</v>
      </c>
      <c r="C4615">
        <f>LOG10(1.020158)</f>
        <v>8.6674396188951616E-3</v>
      </c>
      <c r="D4615">
        <f>LOG10(4.096945)</f>
        <v>0.6124601337464457</v>
      </c>
    </row>
    <row r="4616" spans="1:4">
      <c r="A4616">
        <v>1.0228790000000001</v>
      </c>
      <c r="B4616">
        <v>3.7390650000000001</v>
      </c>
      <c r="C4616">
        <f>LOG10(1.022879)</f>
        <v>9.8242625094922334E-3</v>
      </c>
      <c r="D4616">
        <f>LOG10(3.739065)</f>
        <v>0.57276301500603943</v>
      </c>
    </row>
    <row r="4617" spans="1:4">
      <c r="A4617">
        <v>1.025153</v>
      </c>
      <c r="B4617">
        <v>3.676647</v>
      </c>
      <c r="C4617">
        <f>LOG10(1.025153)</f>
        <v>1.078868694982711E-2</v>
      </c>
      <c r="D4617">
        <f>LOG10(3.676647)</f>
        <v>0.56545193465226318</v>
      </c>
    </row>
    <row r="4618" spans="1:4">
      <c r="A4618">
        <v>1.022454</v>
      </c>
      <c r="B4618">
        <v>3.9953820000000002</v>
      </c>
      <c r="C4618">
        <f>LOG10(1.022454)</f>
        <v>9.6437782974197889E-3</v>
      </c>
      <c r="D4618">
        <f>LOG10(3.995382)</f>
        <v>0.6015583086965508</v>
      </c>
    </row>
    <row r="4619" spans="1:4">
      <c r="A4619">
        <v>1.018767</v>
      </c>
      <c r="B4619">
        <v>3.9853130000000001</v>
      </c>
      <c r="C4619">
        <f>LOG10(1.018767)</f>
        <v>8.0748688102097021E-3</v>
      </c>
      <c r="D4619">
        <f>LOG10(3.985313)</f>
        <v>0.60046243585375514</v>
      </c>
    </row>
    <row r="4620" spans="1:4">
      <c r="A4620">
        <v>1.0173570000000001</v>
      </c>
      <c r="B4620">
        <v>3.9723090000000001</v>
      </c>
      <c r="C4620">
        <f>LOG10(1.017357)</f>
        <v>7.473377626600425E-3</v>
      </c>
      <c r="D4620">
        <f>LOG10(3.972309)</f>
        <v>0.59904302425820777</v>
      </c>
    </row>
    <row r="4621" spans="1:4">
      <c r="A4621">
        <v>1.0190840000000001</v>
      </c>
      <c r="B4621">
        <v>3.8687510000000001</v>
      </c>
      <c r="C4621">
        <f>LOG10(1.019084)</f>
        <v>8.2099830573983609E-3</v>
      </c>
      <c r="D4621">
        <f>LOG10(3.868751)</f>
        <v>0.58757077862123375</v>
      </c>
    </row>
    <row r="4622" spans="1:4">
      <c r="A4622">
        <v>1.0208330000000001</v>
      </c>
      <c r="B4622">
        <v>3.8549449999999998</v>
      </c>
      <c r="C4622">
        <f>LOG10(1.020833)</f>
        <v>8.9547008424602625E-3</v>
      </c>
      <c r="D4622">
        <f>LOG10(3.854945)</f>
        <v>0.58601818618285106</v>
      </c>
    </row>
    <row r="4623" spans="1:4">
      <c r="A4623">
        <v>1.0191889999999999</v>
      </c>
      <c r="B4623">
        <v>3.904296</v>
      </c>
      <c r="C4623">
        <f>LOG10(1.019189)</f>
        <v>8.254727721768728E-3</v>
      </c>
      <c r="D4623">
        <f>LOG10(3.904296)</f>
        <v>0.59154273581164596</v>
      </c>
    </row>
    <row r="4624" spans="1:4">
      <c r="A4624">
        <v>1.010548</v>
      </c>
      <c r="B4624">
        <v>4.0209710000000003</v>
      </c>
      <c r="C4624">
        <f>LOG10(1.010548)</f>
        <v>4.556946886491952E-3</v>
      </c>
      <c r="D4624">
        <f>LOG10(4.020971)</f>
        <v>0.60433094090062511</v>
      </c>
    </row>
    <row r="4625" spans="1:4">
      <c r="A4625">
        <v>1.0107889999999999</v>
      </c>
      <c r="B4625">
        <v>4.3405800000000001</v>
      </c>
      <c r="C4625">
        <f>LOG10(1.010789)</f>
        <v>4.660507025780556E-3</v>
      </c>
      <c r="D4625">
        <f>LOG10(4.34058)</f>
        <v>0.63754776498937482</v>
      </c>
    </row>
    <row r="4626" spans="1:4">
      <c r="A4626">
        <v>1.016602</v>
      </c>
      <c r="B4626">
        <v>4.6071999999999997</v>
      </c>
      <c r="C4626">
        <f>LOG10(1.016602)</f>
        <v>7.1509597716713979E-3</v>
      </c>
      <c r="D4626">
        <f>LOG10(4.6072)</f>
        <v>0.66343706552184989</v>
      </c>
    </row>
    <row r="4627" spans="1:4">
      <c r="A4627">
        <v>1.0208379999999999</v>
      </c>
      <c r="B4627">
        <v>4.5938109999999996</v>
      </c>
      <c r="C4627">
        <f>LOG10(1.020838)</f>
        <v>8.9568279945914722E-3</v>
      </c>
      <c r="D4627">
        <f>LOG10(4.593811)</f>
        <v>0.66217312334799916</v>
      </c>
    </row>
    <row r="4628" spans="1:4">
      <c r="A4628">
        <v>1.015447</v>
      </c>
      <c r="B4628">
        <v>4.4299929999999996</v>
      </c>
      <c r="C4628">
        <f>LOG10(1.015447)</f>
        <v>6.6572608691188098E-3</v>
      </c>
      <c r="D4628">
        <f>LOG10(4.429993)</f>
        <v>0.64640303997842496</v>
      </c>
    </row>
    <row r="4629" spans="1:4">
      <c r="A4629">
        <v>1.012494</v>
      </c>
      <c r="B4629">
        <v>4.395886</v>
      </c>
      <c r="C4629">
        <f>LOG10(1.012494)</f>
        <v>5.3924582821508662E-3</v>
      </c>
      <c r="D4629">
        <f>LOG10(4.395886)</f>
        <v>0.64304642119164734</v>
      </c>
    </row>
    <row r="4630" spans="1:4">
      <c r="A4630">
        <v>1.0175909999999999</v>
      </c>
      <c r="B4630">
        <v>4.3074490000000001</v>
      </c>
      <c r="C4630">
        <f>LOG10(1.017591)</f>
        <v>7.5732572394585588E-3</v>
      </c>
      <c r="D4630">
        <f>LOG10(4.307449)</f>
        <v>0.63422014412361849</v>
      </c>
    </row>
    <row r="4631" spans="1:4">
      <c r="A4631">
        <v>1.0174319999999999</v>
      </c>
      <c r="B4631">
        <v>4.4954219999999996</v>
      </c>
      <c r="C4631">
        <f>LOG10(1.017432)</f>
        <v>7.5053928243997235E-3</v>
      </c>
      <c r="D4631">
        <f>LOG10(4.495422)</f>
        <v>0.6527704666296279</v>
      </c>
    </row>
    <row r="4632" spans="1:4">
      <c r="A4632">
        <v>1.0397080000000001</v>
      </c>
      <c r="B4632">
        <v>4.1353850000000003</v>
      </c>
      <c r="C4632">
        <f>LOG10(1.039708)</f>
        <v>1.6911385649951743E-2</v>
      </c>
      <c r="D4632">
        <f>LOG10(4.135385)</f>
        <v>0.61651594813090216</v>
      </c>
    </row>
    <row r="4633" spans="1:4">
      <c r="A4633">
        <v>1.0237849999999999</v>
      </c>
      <c r="B4633">
        <v>4.2328669999999997</v>
      </c>
      <c r="C4633">
        <f>LOG10(1.023785)</f>
        <v>1.020876218926923E-2</v>
      </c>
      <c r="D4633">
        <f>LOG10(4.232867)</f>
        <v>0.62663462281524951</v>
      </c>
    </row>
    <row r="4634" spans="1:4">
      <c r="A4634">
        <v>1.0313950000000001</v>
      </c>
      <c r="B4634">
        <v>4.3058839999999998</v>
      </c>
      <c r="C4634">
        <f>LOG10(1.031395)</f>
        <v>1.3425021701612356E-2</v>
      </c>
      <c r="D4634">
        <f>LOG10(4.305884)</f>
        <v>0.63406232580365851</v>
      </c>
    </row>
    <row r="4635" spans="1:4">
      <c r="A4635">
        <v>1.030262</v>
      </c>
      <c r="B4635">
        <v>4.4340809999999999</v>
      </c>
      <c r="C4635">
        <f>LOG10(1.030262)</f>
        <v>1.2947681680908327E-2</v>
      </c>
      <c r="D4635">
        <f>LOG10(4.434081)</f>
        <v>0.64680362236704059</v>
      </c>
    </row>
    <row r="4636" spans="1:4">
      <c r="A4636">
        <v>1.020742</v>
      </c>
      <c r="B4636">
        <v>4.357272</v>
      </c>
      <c r="C4636">
        <f>LOG10(1.020742)</f>
        <v>8.9159848532074596E-3</v>
      </c>
      <c r="D4636">
        <f>LOG10(4.357272)</f>
        <v>0.63921467134543131</v>
      </c>
    </row>
    <row r="4637" spans="1:4">
      <c r="A4637">
        <v>1.0175620000000001</v>
      </c>
      <c r="B4637">
        <v>4.2911910000000004</v>
      </c>
      <c r="C4637">
        <f>LOG10(1.017562)</f>
        <v>7.5608802437476964E-3</v>
      </c>
      <c r="D4637">
        <f>LOG10(4.291191)</f>
        <v>0.63257784531802896</v>
      </c>
    </row>
    <row r="4638" spans="1:4">
      <c r="A4638">
        <v>1.021917</v>
      </c>
      <c r="B4638">
        <v>4.4030300000000002</v>
      </c>
      <c r="C4638">
        <f>LOG10(1.021917)</f>
        <v>9.4156238752079943E-3</v>
      </c>
      <c r="D4638">
        <f>LOG10(4.40303)</f>
        <v>0.64375164453062983</v>
      </c>
    </row>
    <row r="4639" spans="1:4">
      <c r="A4639">
        <v>1.0224089999999999</v>
      </c>
      <c r="B4639">
        <v>3.9431370000000001</v>
      </c>
      <c r="C4639">
        <f>LOG10(1.022409)</f>
        <v>9.6246638123038356E-3</v>
      </c>
      <c r="D4639">
        <f>LOG10(3.943137)</f>
        <v>0.59584186642407433</v>
      </c>
    </row>
    <row r="4640" spans="1:4">
      <c r="A4640">
        <v>1.0140880000000001</v>
      </c>
      <c r="B4640">
        <v>3.6758130000000002</v>
      </c>
      <c r="C4640">
        <f>LOG10(1.014088)</f>
        <v>6.0756436128323902E-3</v>
      </c>
      <c r="D4640">
        <f>LOG10(3.675813)</f>
        <v>0.56535340936971534</v>
      </c>
    </row>
    <row r="4641" spans="1:4">
      <c r="A4641">
        <v>1.0269360000000001</v>
      </c>
      <c r="B4641">
        <v>3.4000189999999999</v>
      </c>
      <c r="C4641">
        <f>LOG10(1.026936)</f>
        <v>1.1543378638242693E-2</v>
      </c>
      <c r="D4641">
        <f>LOG10(3.400019)</f>
        <v>0.53148134397522584</v>
      </c>
    </row>
    <row r="4642" spans="1:4">
      <c r="A4642">
        <v>1.019579</v>
      </c>
      <c r="B4642">
        <v>3.2611309999999998</v>
      </c>
      <c r="C4642">
        <f>LOG10(1.019579)</f>
        <v>8.420881840342568E-3</v>
      </c>
      <c r="D4642">
        <f>LOG10(3.261131)</f>
        <v>0.51336824481467314</v>
      </c>
    </row>
    <row r="4643" spans="1:4">
      <c r="A4643">
        <v>1.020032</v>
      </c>
      <c r="B4643">
        <v>3.3411770000000001</v>
      </c>
      <c r="C4643">
        <f>LOG10(1.020032)</f>
        <v>8.613796473120194E-3</v>
      </c>
      <c r="D4643">
        <f>LOG10(3.341177)</f>
        <v>0.52389948314700596</v>
      </c>
    </row>
    <row r="4644" spans="1:4">
      <c r="A4644">
        <v>1.0206310000000001</v>
      </c>
      <c r="B4644">
        <v>3.3894069999999998</v>
      </c>
      <c r="C4644">
        <f>LOG10(1.020631)</f>
        <v>8.8687551822568197E-3</v>
      </c>
      <c r="D4644">
        <f>LOG10(3.389407)</f>
        <v>0.53012372205106018</v>
      </c>
    </row>
    <row r="4645" spans="1:4">
      <c r="A4645">
        <v>1.035077</v>
      </c>
      <c r="B4645">
        <v>3.4025590000000001</v>
      </c>
      <c r="C4645">
        <f>LOG10(1.035077)</f>
        <v>1.4972658422153716E-2</v>
      </c>
      <c r="D4645">
        <f>LOG10(3.402559)</f>
        <v>0.53180566455936285</v>
      </c>
    </row>
    <row r="4646" spans="1:4">
      <c r="A4646">
        <v>1.02068</v>
      </c>
      <c r="B4646">
        <v>3.3174790000000001</v>
      </c>
      <c r="C4646">
        <f>LOG10(1.02068)</f>
        <v>8.8896049495067221E-3</v>
      </c>
      <c r="D4646">
        <f>LOG10(3.317479)</f>
        <v>0.52080818241424687</v>
      </c>
    </row>
    <row r="4647" spans="1:4">
      <c r="A4647">
        <v>1.012761</v>
      </c>
      <c r="B4647">
        <v>3.3978809999999999</v>
      </c>
      <c r="C4647">
        <f>LOG10(1.012761)</f>
        <v>5.5069689263314474E-3</v>
      </c>
      <c r="D4647">
        <f>LOG10(3.397881)</f>
        <v>0.53120816501321566</v>
      </c>
    </row>
    <row r="4648" spans="1:4">
      <c r="A4648">
        <v>1.0401750000000001</v>
      </c>
      <c r="B4648">
        <v>3.498453</v>
      </c>
      <c r="C4648">
        <f>LOG10(1.040175)</f>
        <v>1.7106411549444263E-2</v>
      </c>
      <c r="D4648">
        <f>LOG10(3.498453)</f>
        <v>0.5438760437540161</v>
      </c>
    </row>
    <row r="4649" spans="1:4">
      <c r="A4649">
        <v>1.024308</v>
      </c>
      <c r="B4649">
        <v>3.293158</v>
      </c>
      <c r="C4649">
        <f>LOG10(1.024308)</f>
        <v>1.04305646357133E-2</v>
      </c>
      <c r="D4649">
        <f>LOG10(3.293158)</f>
        <v>0.51761256790656784</v>
      </c>
    </row>
    <row r="4650" spans="1:4">
      <c r="A4650">
        <v>1.0212950000000001</v>
      </c>
      <c r="B4650">
        <v>3.2562720000000001</v>
      </c>
      <c r="C4650">
        <f>LOG10(1.021295)</f>
        <v>9.1512057178279316E-3</v>
      </c>
      <c r="D4650">
        <f>LOG10(3.256272)</f>
        <v>0.51272067483057115</v>
      </c>
    </row>
    <row r="4651" spans="1:4">
      <c r="A4651">
        <v>1.022993</v>
      </c>
      <c r="B4651">
        <v>3.2928519999999999</v>
      </c>
      <c r="C4651">
        <f>LOG10(1.022993)</f>
        <v>9.872661989995599E-3</v>
      </c>
      <c r="D4651">
        <f>LOG10(3.292852)</f>
        <v>0.51757221142014942</v>
      </c>
    </row>
    <row r="4652" spans="1:4">
      <c r="A4652">
        <v>1.0208429999999999</v>
      </c>
      <c r="B4652">
        <v>3.4612449999999999</v>
      </c>
      <c r="C4652">
        <f>LOG10(1.020843)</f>
        <v>8.9589551363041444E-3</v>
      </c>
      <c r="D4652">
        <f>LOG10(3.461245)</f>
        <v>0.53923234138664555</v>
      </c>
    </row>
    <row r="4653" spans="1:4">
      <c r="A4653">
        <v>1.0206770000000001</v>
      </c>
      <c r="B4653">
        <v>3.3721549999999998</v>
      </c>
      <c r="C4653">
        <f>LOG10(1.020677)</f>
        <v>8.8883284619097943E-3</v>
      </c>
      <c r="D4653">
        <f>LOG10(3.372155)</f>
        <v>0.52790752861510104</v>
      </c>
    </row>
    <row r="4654" spans="1:4">
      <c r="A4654">
        <v>1.02322</v>
      </c>
      <c r="B4654">
        <v>3.331502</v>
      </c>
      <c r="C4654">
        <f>LOG10(1.02322)</f>
        <v>9.9690203337227216E-3</v>
      </c>
      <c r="D4654">
        <f>LOG10(3.331502)</f>
        <v>0.52264007832416215</v>
      </c>
    </row>
    <row r="4655" spans="1:4">
      <c r="A4655">
        <v>1.0203249999999999</v>
      </c>
      <c r="B4655">
        <v>3.21909</v>
      </c>
      <c r="C4655">
        <f>LOG10(1.020325)</f>
        <v>8.7385278648053639E-3</v>
      </c>
      <c r="D4655">
        <f>LOG10(3.21909)</f>
        <v>0.50773311895245787</v>
      </c>
    </row>
    <row r="4656" spans="1:4">
      <c r="A4656">
        <v>1.0172509999999999</v>
      </c>
      <c r="B4656">
        <v>2.9519410000000001</v>
      </c>
      <c r="C4656">
        <f>LOG10(1.017251)</f>
        <v>7.4281254550534088E-3</v>
      </c>
      <c r="D4656">
        <f>LOG10(2.951941)</f>
        <v>0.47010767305937257</v>
      </c>
    </row>
    <row r="4657" spans="1:4">
      <c r="A4657">
        <v>1.047409</v>
      </c>
      <c r="B4657">
        <v>4.0988990000000003</v>
      </c>
      <c r="C4657">
        <f>LOG10(1.047409)</f>
        <v>2.0116301314125007E-2</v>
      </c>
      <c r="D4657">
        <f>LOG10(4.098899)</f>
        <v>0.61266721710081851</v>
      </c>
    </row>
    <row r="4658" spans="1:4">
      <c r="A4658">
        <v>1.017495</v>
      </c>
      <c r="B4658">
        <v>4.0663710000000002</v>
      </c>
      <c r="C4658">
        <f>LOG10(1.017495)</f>
        <v>7.5322837667958975E-3</v>
      </c>
      <c r="D4658">
        <f>LOG10(4.066371)</f>
        <v>0.60920699946247991</v>
      </c>
    </row>
    <row r="4659" spans="1:4">
      <c r="A4659">
        <v>1.008615</v>
      </c>
      <c r="B4659">
        <v>3.9871880000000002</v>
      </c>
      <c r="C4659">
        <f>LOG10(1.008615)</f>
        <v>3.7254226460251053E-3</v>
      </c>
      <c r="D4659">
        <f>LOG10(3.987188)</f>
        <v>0.60066671357503276</v>
      </c>
    </row>
    <row r="4660" spans="1:4">
      <c r="A4660">
        <v>1.010918</v>
      </c>
      <c r="B4660">
        <v>3.9399630000000001</v>
      </c>
      <c r="C4660">
        <f>LOG10(1.010918)</f>
        <v>4.7159294863463761E-3</v>
      </c>
      <c r="D4660">
        <f>LOG10(3.939963)</f>
        <v>0.59549214340646717</v>
      </c>
    </row>
    <row r="4661" spans="1:4">
      <c r="A4661">
        <v>1.0115749999999999</v>
      </c>
      <c r="B4661">
        <v>4.0314889999999997</v>
      </c>
      <c r="C4661">
        <f>LOG10(1.011575)</f>
        <v>4.9980876788809974E-3</v>
      </c>
      <c r="D4661">
        <f>LOG10(4.031489)</f>
        <v>0.60546547915563265</v>
      </c>
    </row>
    <row r="4662" spans="1:4">
      <c r="A4662">
        <v>1.0087429999999999</v>
      </c>
      <c r="B4662">
        <v>3.9787650000000001</v>
      </c>
      <c r="C4662">
        <f>LOG10(1.008743)</f>
        <v>3.7805340280982658E-3</v>
      </c>
      <c r="D4662">
        <f>LOG10(3.978765)</f>
        <v>0.59974828892844978</v>
      </c>
    </row>
    <row r="4663" spans="1:4">
      <c r="A4663">
        <v>1.0151680000000001</v>
      </c>
      <c r="B4663">
        <v>4.0790790000000001</v>
      </c>
      <c r="C4663">
        <f>LOG10(1.015168)</f>
        <v>6.5379195255224733E-3</v>
      </c>
      <c r="D4663">
        <f>LOG10(4.079079)</f>
        <v>0.61056211643056169</v>
      </c>
    </row>
    <row r="4664" spans="1:4">
      <c r="A4664">
        <v>1.013401</v>
      </c>
      <c r="B4664">
        <v>4.1695460000000004</v>
      </c>
      <c r="C4664">
        <f>LOG10(1.013401)</f>
        <v>5.781328506327477E-3</v>
      </c>
      <c r="D4664">
        <f>LOG10(4.169546)</f>
        <v>0.62008876949922964</v>
      </c>
    </row>
    <row r="4665" spans="1:4">
      <c r="A4665">
        <v>1.0150319999999999</v>
      </c>
      <c r="B4665">
        <v>3.4350350000000001</v>
      </c>
      <c r="C4665">
        <f>LOG10(1.015032)</f>
        <v>6.4797340761802895E-3</v>
      </c>
      <c r="D4665">
        <f>LOG10(3.435035)</f>
        <v>0.5359311664987505</v>
      </c>
    </row>
    <row r="4666" spans="1:4">
      <c r="A4666">
        <v>1.0205949999999999</v>
      </c>
      <c r="B4666">
        <v>4.0230980000000001</v>
      </c>
      <c r="C4666">
        <f>LOG10(1.020595)</f>
        <v>8.8534363480364045E-3</v>
      </c>
      <c r="D4666">
        <f>LOG10(4.023098)</f>
        <v>0.60456061182575926</v>
      </c>
    </row>
    <row r="4667" spans="1:4">
      <c r="A4667">
        <v>1.0149649999999999</v>
      </c>
      <c r="B4667">
        <v>3.9460790000000001</v>
      </c>
      <c r="C4667">
        <f>LOG10(1.014965)</f>
        <v>6.4510663192347368E-3</v>
      </c>
      <c r="D4667">
        <f>LOG10(3.946079)</f>
        <v>0.59616577552353034</v>
      </c>
    </row>
    <row r="4668" spans="1:4">
      <c r="A4668">
        <v>1.0110250000000001</v>
      </c>
      <c r="B4668">
        <v>3.941303</v>
      </c>
      <c r="C4668">
        <f>LOG10(1.011025)</f>
        <v>4.7618946887354255E-3</v>
      </c>
      <c r="D4668">
        <f>LOG10(3.941303)</f>
        <v>0.59563982389621539</v>
      </c>
    </row>
    <row r="4669" spans="1:4">
      <c r="A4669">
        <v>1.0110319999999999</v>
      </c>
      <c r="B4669">
        <v>3.7980209999999999</v>
      </c>
      <c r="C4669">
        <f>LOG10(1.011032)</f>
        <v>4.76490158851449E-3</v>
      </c>
      <c r="D4669">
        <f>LOG10(3.798021)</f>
        <v>0.57955736170666128</v>
      </c>
    </row>
    <row r="4670" spans="1:4">
      <c r="A4670">
        <v>1.014669</v>
      </c>
      <c r="B4670">
        <v>3.680561</v>
      </c>
      <c r="C4670">
        <f>LOG10(1.014669)</f>
        <v>6.3243920838261022E-3</v>
      </c>
      <c r="D4670">
        <f>LOG10(3.680561)</f>
        <v>0.56591401993312807</v>
      </c>
    </row>
    <row r="4671" spans="1:4">
      <c r="A4671">
        <v>1.0095670000000001</v>
      </c>
      <c r="B4671">
        <v>3.972251</v>
      </c>
      <c r="C4671">
        <f>LOG10(1.009567)</f>
        <v>4.1351462263936279E-3</v>
      </c>
      <c r="D4671">
        <f>LOG10(3.972251)</f>
        <v>0.5990366830436028</v>
      </c>
    </row>
    <row r="4672" spans="1:4">
      <c r="A4672">
        <v>1.0161709999999999</v>
      </c>
      <c r="B4672">
        <v>3.8169390000000001</v>
      </c>
      <c r="C4672">
        <f>LOG10(1.016171)</f>
        <v>6.9667966363825776E-3</v>
      </c>
      <c r="D4672">
        <f>LOG10(3.816939)</f>
        <v>0.58171521937401771</v>
      </c>
    </row>
    <row r="4673" spans="1:4">
      <c r="A4673">
        <v>1.0110950000000001</v>
      </c>
      <c r="B4673">
        <v>4.2295100000000003</v>
      </c>
      <c r="C4673">
        <f>LOG10(1.011095)</f>
        <v>4.7919627497262441E-3</v>
      </c>
      <c r="D4673">
        <f>LOG10(4.22951)</f>
        <v>0.62629005611673771</v>
      </c>
    </row>
    <row r="4674" spans="1:4">
      <c r="A4674">
        <v>1.0089239999999999</v>
      </c>
      <c r="B4674">
        <v>4.3928589999999996</v>
      </c>
      <c r="C4674">
        <f>LOG10(1.008924)</f>
        <v>3.8584530320125345E-3</v>
      </c>
      <c r="D4674">
        <f>LOG10(4.392859)</f>
        <v>0.64274726370131108</v>
      </c>
    </row>
    <row r="4675" spans="1:4">
      <c r="A4675">
        <v>1.0220940000000001</v>
      </c>
      <c r="B4675">
        <v>4.4826870000000003</v>
      </c>
      <c r="C4675">
        <f>LOG10(1.022094)</f>
        <v>9.4908388554493482E-3</v>
      </c>
      <c r="D4675">
        <f>LOG10(4.482687)</f>
        <v>0.65153841566292059</v>
      </c>
    </row>
    <row r="4676" spans="1:4">
      <c r="A4676">
        <v>1.018543</v>
      </c>
      <c r="B4676">
        <v>4.4325219999999996</v>
      </c>
      <c r="C4676">
        <f>LOG10(1.018543)</f>
        <v>7.9793684059135134E-3</v>
      </c>
      <c r="D4676">
        <f>LOG10(4.432522)</f>
        <v>0.64665089981833401</v>
      </c>
    </row>
    <row r="4677" spans="1:4">
      <c r="A4677">
        <v>1.020232</v>
      </c>
      <c r="B4677">
        <v>4.265142</v>
      </c>
      <c r="C4677">
        <f>LOG10(1.020232)</f>
        <v>8.6989412354243432E-3</v>
      </c>
      <c r="D4677">
        <f>LOG10(4.265142)</f>
        <v>0.62993349477431038</v>
      </c>
    </row>
    <row r="4678" spans="1:4">
      <c r="A4678">
        <v>1.0194719999999999</v>
      </c>
      <c r="B4678">
        <v>4.2757529999999999</v>
      </c>
      <c r="C4678">
        <f>LOG10(1.019472)</f>
        <v>8.3753022941651187E-3</v>
      </c>
      <c r="D4678">
        <f>LOG10(4.275753)</f>
        <v>0.63101260911032386</v>
      </c>
    </row>
    <row r="4679" spans="1:4">
      <c r="A4679">
        <v>1.0191779999999999</v>
      </c>
      <c r="B4679">
        <v>4.3125629999999999</v>
      </c>
      <c r="C4679">
        <f>LOG10(1.019178)</f>
        <v>8.2500404016728132E-3</v>
      </c>
      <c r="D4679">
        <f>LOG10(4.312563)</f>
        <v>0.63473545251089825</v>
      </c>
    </row>
    <row r="4680" spans="1:4">
      <c r="A4680">
        <v>1.029585</v>
      </c>
      <c r="B4680">
        <v>4.2830959999999996</v>
      </c>
      <c r="C4680">
        <f>LOG10(1.029585)</f>
        <v>1.2662206716180185E-2</v>
      </c>
      <c r="D4680">
        <f>LOG10(4.283096)</f>
        <v>0.63175780864896725</v>
      </c>
    </row>
    <row r="4681" spans="1:4">
      <c r="A4681">
        <v>1.020767</v>
      </c>
      <c r="B4681">
        <v>4.070195</v>
      </c>
      <c r="C4681">
        <f>LOG10(1.020767)</f>
        <v>8.9266214578446156E-3</v>
      </c>
      <c r="D4681">
        <f>LOG10(4.070195)</f>
        <v>0.60961521644764838</v>
      </c>
    </row>
    <row r="4682" spans="1:4">
      <c r="A4682">
        <v>1.021884</v>
      </c>
      <c r="B4682">
        <v>4.2041300000000001</v>
      </c>
      <c r="C4682">
        <f>LOG10(1.021884)</f>
        <v>9.401599302459443E-3</v>
      </c>
      <c r="D4682">
        <f>LOG10(4.20413)</f>
        <v>0.62367613680666556</v>
      </c>
    </row>
    <row r="4683" spans="1:4">
      <c r="A4683">
        <v>1.0240069999999999</v>
      </c>
      <c r="B4683">
        <v>4.2163579999999996</v>
      </c>
      <c r="C4683">
        <f>LOG10(1.024007)</f>
        <v>1.0302925439599538E-2</v>
      </c>
      <c r="D4683">
        <f>LOG10(4.216358)</f>
        <v>0.62493747858583326</v>
      </c>
    </row>
    <row r="4684" spans="1:4">
      <c r="A4684">
        <v>1.025568</v>
      </c>
      <c r="B4684">
        <v>4.3849010000000002</v>
      </c>
      <c r="C4684">
        <f>LOG10(1.025568)</f>
        <v>1.0964461433484523E-2</v>
      </c>
      <c r="D4684">
        <f>LOG10(4.384901)</f>
        <v>0.64195979253921653</v>
      </c>
    </row>
    <row r="4685" spans="1:4">
      <c r="A4685">
        <v>1.01986</v>
      </c>
      <c r="B4685">
        <v>4.2071350000000001</v>
      </c>
      <c r="C4685">
        <f>LOG10(1.01986)</f>
        <v>8.5405586241905345E-3</v>
      </c>
      <c r="D4685">
        <f>LOG10(4.207135)</f>
        <v>0.62398644803182424</v>
      </c>
    </row>
    <row r="4686" spans="1:4">
      <c r="A4686">
        <v>1.021685</v>
      </c>
      <c r="B4686">
        <v>4.3100300000000002</v>
      </c>
      <c r="C4686">
        <f>LOG10(1.021685)</f>
        <v>9.3170172774121353E-3</v>
      </c>
      <c r="D4686">
        <f>LOG10(4.31003)</f>
        <v>0.63448029308163956</v>
      </c>
    </row>
    <row r="4687" spans="1:4">
      <c r="A4687">
        <v>1.0289200000000001</v>
      </c>
      <c r="B4687">
        <v>4.211576</v>
      </c>
      <c r="C4687">
        <f>LOG10(1.02892)</f>
        <v>1.2381609058644895E-2</v>
      </c>
      <c r="D4687">
        <f>LOG10(4.211576)</f>
        <v>0.62444464215988826</v>
      </c>
    </row>
    <row r="4688" spans="1:4">
      <c r="A4688">
        <v>1.0290710000000001</v>
      </c>
      <c r="B4688">
        <v>3.6978789999999999</v>
      </c>
      <c r="C4688">
        <f>LOG10(1.029071)</f>
        <v>1.2445339625868052E-2</v>
      </c>
      <c r="D4688">
        <f>LOG10(3.697879)</f>
        <v>0.56795269630610412</v>
      </c>
    </row>
    <row r="4689" spans="1:4">
      <c r="A4689">
        <v>1.009298</v>
      </c>
      <c r="B4689">
        <v>3.4977659999999999</v>
      </c>
      <c r="C4689">
        <f>LOG10(1.009298)</f>
        <v>4.0194126668704616E-3</v>
      </c>
      <c r="D4689">
        <f>LOG10(3.497766)</f>
        <v>0.54379075188135562</v>
      </c>
    </row>
    <row r="4690" spans="1:4">
      <c r="A4690">
        <v>1.0183519999999999</v>
      </c>
      <c r="B4690">
        <v>3.334784</v>
      </c>
      <c r="C4690">
        <f>LOG10(1.018352)</f>
        <v>7.8979206667942493E-3</v>
      </c>
      <c r="D4690">
        <f>LOG10(3.334784)</f>
        <v>0.52306770912331146</v>
      </c>
    </row>
    <row r="4691" spans="1:4">
      <c r="A4691">
        <v>1.0109109999999999</v>
      </c>
      <c r="B4691">
        <v>3.2473920000000001</v>
      </c>
      <c r="C4691">
        <f>LOG10(1.010911)</f>
        <v>4.7129222474815912E-3</v>
      </c>
      <c r="D4691">
        <f>LOG10(3.247392)</f>
        <v>0.51153471645515403</v>
      </c>
    </row>
    <row r="4692" spans="1:4">
      <c r="A4692">
        <v>1.014777</v>
      </c>
      <c r="B4692">
        <v>3.359343</v>
      </c>
      <c r="C4692">
        <f>LOG10(1.014777)</f>
        <v>6.3706153428729814E-3</v>
      </c>
      <c r="D4692">
        <f>LOG10(3.359343)</f>
        <v>0.5262543490045779</v>
      </c>
    </row>
    <row r="4693" spans="1:4">
      <c r="A4693">
        <v>1.026152</v>
      </c>
      <c r="B4693">
        <v>3.3894410000000001</v>
      </c>
      <c r="C4693">
        <f>LOG10(1.026152)</f>
        <v>1.1211695933592791E-2</v>
      </c>
      <c r="D4693">
        <f>LOG10(3.389441)</f>
        <v>0.53012807854714472</v>
      </c>
    </row>
    <row r="4694" spans="1:4">
      <c r="A4694">
        <v>1.0207219999999999</v>
      </c>
      <c r="B4694">
        <v>3.385589</v>
      </c>
      <c r="C4694">
        <f>LOG10(1.020722)</f>
        <v>8.9074753819276334E-3</v>
      </c>
      <c r="D4694">
        <f>LOG10(3.385589)</f>
        <v>0.52963423497020068</v>
      </c>
    </row>
    <row r="4695" spans="1:4">
      <c r="A4695">
        <v>1.011865</v>
      </c>
      <c r="B4695">
        <v>3.4348459999999998</v>
      </c>
      <c r="C4695">
        <f>LOG10(1.011865)</f>
        <v>5.122574098655572E-3</v>
      </c>
      <c r="D4695">
        <f>LOG10(3.434846)</f>
        <v>0.5359072704059068</v>
      </c>
    </row>
    <row r="4696" spans="1:4">
      <c r="A4696">
        <v>1.020767</v>
      </c>
      <c r="B4696">
        <v>3.5081899999999999</v>
      </c>
      <c r="C4696">
        <f>LOG10(1.020767)</f>
        <v>8.9266214578446156E-3</v>
      </c>
      <c r="D4696">
        <f>LOG10(3.50819)</f>
        <v>0.5450831062781053</v>
      </c>
    </row>
    <row r="4697" spans="1:4">
      <c r="A4697">
        <v>1.0198640000000001</v>
      </c>
      <c r="B4697">
        <v>3.4293390000000001</v>
      </c>
      <c r="C4697">
        <f>LOG10(1.019864)</f>
        <v>8.5422619702585963E-3</v>
      </c>
      <c r="D4697">
        <f>LOG10(3.429339)</f>
        <v>0.53521041849268625</v>
      </c>
    </row>
    <row r="4698" spans="1:4">
      <c r="A4698">
        <v>1.0121880000000001</v>
      </c>
      <c r="B4698">
        <v>3.3077809999999999</v>
      </c>
      <c r="C4698">
        <f>LOG10(1.012188)</f>
        <v>5.2611842228425859E-3</v>
      </c>
      <c r="D4698">
        <f>LOG10(3.307781)</f>
        <v>0.51953674826866425</v>
      </c>
    </row>
    <row r="4699" spans="1:4">
      <c r="A4699">
        <v>1.0113570000000001</v>
      </c>
      <c r="B4699">
        <v>3.3300559999999999</v>
      </c>
      <c r="C4699">
        <f>LOG10(1.011357)</f>
        <v>4.9044847328389837E-3</v>
      </c>
      <c r="D4699">
        <f>LOG10(3.330056)</f>
        <v>0.52245153689565682</v>
      </c>
    </row>
    <row r="4700" spans="1:4">
      <c r="A4700">
        <v>1.0103</v>
      </c>
      <c r="B4700">
        <v>3.3531819999999999</v>
      </c>
      <c r="C4700">
        <f>LOG10(1.0103)</f>
        <v>4.4503529892243581E-3</v>
      </c>
      <c r="D4700">
        <f>LOG10(3.353182)</f>
        <v>0.52545712618474161</v>
      </c>
    </row>
    <row r="4701" spans="1:4">
      <c r="A4701">
        <v>1.010661</v>
      </c>
      <c r="B4701">
        <v>3.494942</v>
      </c>
      <c r="C4701">
        <f>LOG10(1.010661)</f>
        <v>4.6055072050994886E-3</v>
      </c>
      <c r="D4701">
        <f>LOG10(3.494942)</f>
        <v>0.54343997284594603</v>
      </c>
    </row>
    <row r="4702" spans="1:4">
      <c r="A4702">
        <v>1.013512</v>
      </c>
      <c r="B4702">
        <v>3.4531740000000002</v>
      </c>
      <c r="C4702">
        <f>LOG10(1.013512)</f>
        <v>5.8288951138132841E-3</v>
      </c>
      <c r="D4702">
        <f>LOG10(3.453174)</f>
        <v>0.53821846231584936</v>
      </c>
    </row>
    <row r="4703" spans="1:4">
      <c r="A4703">
        <v>1.500872</v>
      </c>
      <c r="B4703">
        <v>3.2660680000000002</v>
      </c>
      <c r="C4703">
        <f>LOG10(1.500872)</f>
        <v>0.17634365555835024</v>
      </c>
      <c r="D4703">
        <f>LOG10(3.266068)</f>
        <v>0.51402522256762329</v>
      </c>
    </row>
    <row r="4704" spans="1:4">
      <c r="A4704">
        <v>1.0177430000000001</v>
      </c>
      <c r="B4704">
        <v>3.331871</v>
      </c>
      <c r="C4704">
        <f>LOG10(1.017743)</f>
        <v>7.638123999776111E-3</v>
      </c>
      <c r="D4704">
        <f>LOG10(3.331871)</f>
        <v>0.52268817848724358</v>
      </c>
    </row>
    <row r="4705" spans="1:4">
      <c r="A4705">
        <v>1.028152</v>
      </c>
      <c r="B4705">
        <v>3.3645339999999999</v>
      </c>
      <c r="C4705">
        <f>LOG10(1.028152)</f>
        <v>1.2057324660627958E-2</v>
      </c>
      <c r="D4705">
        <f>LOG10(3.364534)</f>
        <v>0.52692492138520153</v>
      </c>
    </row>
    <row r="4706" spans="1:4">
      <c r="A4706">
        <v>1.0216350000000001</v>
      </c>
      <c r="B4706">
        <v>3.32362</v>
      </c>
      <c r="C4706">
        <f>LOG10(1.021635)</f>
        <v>9.2957629226371168E-3</v>
      </c>
      <c r="D4706">
        <f>LOG10(3.32362)</f>
        <v>0.52161136368696093</v>
      </c>
    </row>
    <row r="4707" spans="1:4">
      <c r="A4707">
        <v>1.0222789999999999</v>
      </c>
      <c r="B4707">
        <v>3.2982179999999999</v>
      </c>
      <c r="C4707">
        <f>LOG10(1.022279)</f>
        <v>9.5694394624534114E-3</v>
      </c>
      <c r="D4707">
        <f>LOG10(3.298218)</f>
        <v>0.51827935751471976</v>
      </c>
    </row>
    <row r="4708" spans="1:4">
      <c r="A4708">
        <v>1.0186299999999999</v>
      </c>
      <c r="B4708">
        <v>3.3200889999999998</v>
      </c>
      <c r="C4708">
        <f>LOG10(1.01863)</f>
        <v>8.0164625750867059E-3</v>
      </c>
      <c r="D4708">
        <f>LOG10(3.320089)</f>
        <v>0.52114972577958429</v>
      </c>
    </row>
    <row r="4709" spans="1:4">
      <c r="A4709">
        <v>1.019204</v>
      </c>
      <c r="B4709">
        <v>3.3359830000000001</v>
      </c>
      <c r="C4709">
        <f>LOG10(1.019204)</f>
        <v>8.2611194403712836E-3</v>
      </c>
      <c r="D4709">
        <f>LOG10(3.335983)</f>
        <v>0.52322382882870955</v>
      </c>
    </row>
    <row r="4710" spans="1:4">
      <c r="A4710">
        <v>1.0262610000000001</v>
      </c>
      <c r="B4710">
        <v>3.348633</v>
      </c>
      <c r="C4710">
        <f>LOG10(1.026261)</f>
        <v>1.1257825146935348E-2</v>
      </c>
      <c r="D4710">
        <f>LOG10(3.348633)</f>
        <v>0.52486755279258279</v>
      </c>
    </row>
    <row r="4711" spans="1:4">
      <c r="A4711">
        <v>1.024311</v>
      </c>
      <c r="B4711">
        <v>3.1736550000000001</v>
      </c>
      <c r="C4711">
        <f>LOG10(1.024311)</f>
        <v>1.0431836598382493E-2</v>
      </c>
      <c r="D4711">
        <f>LOG10(3.173655)</f>
        <v>0.50155971393115828</v>
      </c>
    </row>
    <row r="4712" spans="1:4">
      <c r="A4712">
        <v>1.020259</v>
      </c>
      <c r="B4712">
        <v>3.3465829999999999</v>
      </c>
      <c r="C4712">
        <f>LOG10(1.020259)</f>
        <v>8.7104344995574089E-3</v>
      </c>
      <c r="D4712">
        <f>LOG10(3.346583)</f>
        <v>0.52460160059157124</v>
      </c>
    </row>
    <row r="4713" spans="1:4">
      <c r="A4713">
        <v>1.022508</v>
      </c>
      <c r="B4713">
        <v>3.061261</v>
      </c>
      <c r="C4713">
        <f>LOG10(1.022508)</f>
        <v>9.6667145691238365E-3</v>
      </c>
      <c r="D4713">
        <f>LOG10(3.061261)</f>
        <v>0.48590035868180048</v>
      </c>
    </row>
    <row r="4714" spans="1:4">
      <c r="A4714">
        <v>1.023857</v>
      </c>
      <c r="B4714">
        <v>3.2659370000000001</v>
      </c>
      <c r="C4714">
        <f>LOG10(1.023857)</f>
        <v>1.0239303858867678E-2</v>
      </c>
      <c r="D4714">
        <f>LOG10(3.265937)</f>
        <v>0.51400780293088477</v>
      </c>
    </row>
    <row r="4715" spans="1:4">
      <c r="A4715">
        <v>1.021763</v>
      </c>
      <c r="B4715">
        <v>3.336795</v>
      </c>
      <c r="C4715">
        <f>LOG10(1.021763)</f>
        <v>9.3501719939548759E-3</v>
      </c>
      <c r="D4715">
        <f>LOG10(3.336795)</f>
        <v>0.52332952607236005</v>
      </c>
    </row>
    <row r="4716" spans="1:4">
      <c r="A4716">
        <v>1.021522</v>
      </c>
      <c r="B4716">
        <v>3.3976600000000001</v>
      </c>
      <c r="C4716">
        <f>LOG10(1.021522)</f>
        <v>9.2477242486584468E-3</v>
      </c>
      <c r="D4716">
        <f>LOG10(3.39766)</f>
        <v>0.53117991734889158</v>
      </c>
    </row>
    <row r="4717" spans="1:4">
      <c r="A4717">
        <v>1.021882</v>
      </c>
      <c r="B4717">
        <v>3.247385</v>
      </c>
      <c r="C4717">
        <f>LOG10(1.021882)</f>
        <v>9.4007493137975E-3</v>
      </c>
      <c r="D4717">
        <f>LOG10(3.247385)</f>
        <v>0.51153378029941743</v>
      </c>
    </row>
    <row r="4718" spans="1:4">
      <c r="A4718">
        <v>1.015369</v>
      </c>
      <c r="B4718">
        <v>3.3879160000000001</v>
      </c>
      <c r="C4718">
        <f>LOG10(1.015369)</f>
        <v>6.6238999249415721E-3</v>
      </c>
      <c r="D4718">
        <f>LOG10(3.387916)</f>
        <v>0.52993263389340139</v>
      </c>
    </row>
    <row r="4719" spans="1:4">
      <c r="A4719">
        <v>1.015728</v>
      </c>
      <c r="B4719">
        <v>3.5306649999999999</v>
      </c>
      <c r="C4719">
        <f>LOG10(1.015728)</f>
        <v>6.7774245676611366E-3</v>
      </c>
      <c r="D4719">
        <f>LOG10(3.530665)</f>
        <v>0.5478565123653012</v>
      </c>
    </row>
    <row r="4720" spans="1:4">
      <c r="A4720">
        <v>1.013833</v>
      </c>
      <c r="B4720">
        <v>3.3876740000000001</v>
      </c>
      <c r="C4720">
        <f>LOG10(1.013833)</f>
        <v>5.9664232896846255E-3</v>
      </c>
      <c r="D4720">
        <f>LOG10(3.387674)</f>
        <v>0.5299016109818423</v>
      </c>
    </row>
    <row r="4721" spans="1:4">
      <c r="A4721">
        <v>1.014894</v>
      </c>
      <c r="B4721">
        <v>3.7902260000000001</v>
      </c>
      <c r="C4721">
        <f>LOG10(1.014894)</f>
        <v>6.4206849890756706E-3</v>
      </c>
      <c r="D4721">
        <f>LOG10(3.790226)</f>
        <v>0.57866510643948077</v>
      </c>
    </row>
    <row r="4722" spans="1:4">
      <c r="A4722">
        <v>1.014578</v>
      </c>
      <c r="B4722">
        <v>4.0137720000000003</v>
      </c>
      <c r="C4722">
        <f>LOG10(1.014578)</f>
        <v>6.2854408887476161E-3</v>
      </c>
      <c r="D4722">
        <f>LOG10(4.013772)</f>
        <v>0.6035526990049338</v>
      </c>
    </row>
    <row r="4723" spans="1:4">
      <c r="A4723">
        <v>1.0186710000000001</v>
      </c>
      <c r="B4723">
        <v>4.2936610000000002</v>
      </c>
      <c r="C4723">
        <f>LOG10(1.018671)</f>
        <v>8.033942636953376E-3</v>
      </c>
      <c r="D4723">
        <f>LOG10(4.293661)</f>
        <v>0.63282775234028188</v>
      </c>
    </row>
    <row r="4724" spans="1:4">
      <c r="A4724">
        <v>1.01661</v>
      </c>
      <c r="B4724">
        <v>4.3523899999999998</v>
      </c>
      <c r="C4724">
        <f>LOG10(1.01661)</f>
        <v>7.1543773748089434E-3</v>
      </c>
      <c r="D4724">
        <f>LOG10(4.35239)</f>
        <v>0.63872780379931904</v>
      </c>
    </row>
    <row r="4725" spans="1:4">
      <c r="A4725">
        <v>1.014589</v>
      </c>
      <c r="B4725">
        <v>4.2350130000000004</v>
      </c>
      <c r="C4725">
        <f>LOG10(1.014589)</f>
        <v>6.2901494605911122E-3</v>
      </c>
      <c r="D4725">
        <f>LOG10(4.235013)</f>
        <v>0.62685474780004324</v>
      </c>
    </row>
    <row r="4726" spans="1:4">
      <c r="A4726">
        <v>1.0155799999999999</v>
      </c>
      <c r="B4726">
        <v>4.2352829999999999</v>
      </c>
      <c r="C4726">
        <f>LOG10(1.01558)</f>
        <v>6.7141396463833852E-3</v>
      </c>
      <c r="D4726">
        <f>LOG10(4.235283)</f>
        <v>0.62688243502848329</v>
      </c>
    </row>
    <row r="4727" spans="1:4">
      <c r="A4727">
        <v>1.018078</v>
      </c>
      <c r="B4727">
        <v>4.2730319999999997</v>
      </c>
      <c r="C4727">
        <f>LOG10(1.018078)</f>
        <v>7.7810527275480913E-3</v>
      </c>
      <c r="D4727">
        <f>LOG10(4.273032)</f>
        <v>0.63073614518587962</v>
      </c>
    </row>
    <row r="4728" spans="1:4">
      <c r="A4728">
        <v>1.0305420000000001</v>
      </c>
      <c r="B4728">
        <v>4.2043150000000002</v>
      </c>
      <c r="C4728">
        <f>LOG10(1.030542)</f>
        <v>1.3065696257434008E-2</v>
      </c>
      <c r="D4728">
        <f>LOG10(4.204315)</f>
        <v>0.62369524723175962</v>
      </c>
    </row>
    <row r="4729" spans="1:4">
      <c r="A4729">
        <v>1.027101</v>
      </c>
      <c r="B4729">
        <v>4.0316270000000003</v>
      </c>
      <c r="C4729">
        <f>LOG10(1.027101)</f>
        <v>1.1613152054854135E-2</v>
      </c>
      <c r="D4729">
        <f>LOG10(4.031627)</f>
        <v>0.60548034503093662</v>
      </c>
    </row>
    <row r="4730" spans="1:4">
      <c r="A4730">
        <v>1.0280609999999999</v>
      </c>
      <c r="B4730">
        <v>3.9853160000000001</v>
      </c>
      <c r="C4730">
        <f>LOG10(1.028061)</f>
        <v>1.2018884287107292E-2</v>
      </c>
      <c r="D4730">
        <f>LOG10(3.985316)</f>
        <v>0.60046276277486654</v>
      </c>
    </row>
    <row r="4731" spans="1:4">
      <c r="A4731">
        <v>1.019088</v>
      </c>
      <c r="B4731">
        <v>4.3459859999999999</v>
      </c>
      <c r="C4731">
        <f>LOG10(1.019088)</f>
        <v>8.2116877005075466E-3</v>
      </c>
      <c r="D4731">
        <f>LOG10(4.345986)</f>
        <v>0.63808832296643403</v>
      </c>
    </row>
    <row r="4732" spans="1:4">
      <c r="A4732">
        <v>1.0309090000000001</v>
      </c>
      <c r="B4732">
        <v>4.393573</v>
      </c>
      <c r="C4732">
        <f>LOG10(1.030909)</f>
        <v>1.3220331101087718E-2</v>
      </c>
      <c r="D4732">
        <f>LOG10(4.393573)</f>
        <v>0.64281784667760034</v>
      </c>
    </row>
    <row r="4733" spans="1:4">
      <c r="A4733">
        <v>1.0333490000000001</v>
      </c>
      <c r="B4733">
        <v>4.2806749999999996</v>
      </c>
      <c r="C4733">
        <f>LOG10(1.033349)</f>
        <v>1.4247023529421917E-2</v>
      </c>
      <c r="D4733">
        <f>LOG10(4.280675)</f>
        <v>0.63151225631724373</v>
      </c>
    </row>
    <row r="4734" spans="1:4">
      <c r="A4734">
        <v>1.0357209999999999</v>
      </c>
      <c r="B4734">
        <v>4.3393689999999996</v>
      </c>
      <c r="C4734">
        <f>LOG10(1.035721)</f>
        <v>1.5242781973907472E-2</v>
      </c>
      <c r="D4734">
        <f>LOG10(4.339369)</f>
        <v>0.63742658210661884</v>
      </c>
    </row>
    <row r="4735" spans="1:4">
      <c r="A4735">
        <v>1.0376339999999999</v>
      </c>
      <c r="B4735">
        <v>4.1907930000000002</v>
      </c>
      <c r="C4735">
        <f>LOG10(1.037634)</f>
        <v>1.6044193772307563E-2</v>
      </c>
      <c r="D4735">
        <f>LOG10(4.190793)</f>
        <v>0.62229620982502742</v>
      </c>
    </row>
    <row r="4736" spans="1:4">
      <c r="A4736">
        <v>1.0168600000000001</v>
      </c>
      <c r="B4736">
        <v>3.6577670000000002</v>
      </c>
      <c r="C4736">
        <f>LOG10(1.01686)</f>
        <v>7.2611639229486994E-3</v>
      </c>
      <c r="D4736">
        <f>LOG10(3.657767)</f>
        <v>0.56321603743423643</v>
      </c>
    </row>
    <row r="4737" spans="1:4">
      <c r="A4737">
        <v>1.0185930000000001</v>
      </c>
      <c r="B4737">
        <v>3.4381789999999999</v>
      </c>
      <c r="C4737">
        <f>LOG10(1.018593)</f>
        <v>8.0006872811379144E-3</v>
      </c>
      <c r="D4737">
        <f>LOG10(3.438179)</f>
        <v>0.53632848337156647</v>
      </c>
    </row>
    <row r="4738" spans="1:4">
      <c r="A4738">
        <v>1.019269</v>
      </c>
      <c r="B4738">
        <v>3.3523149999999999</v>
      </c>
      <c r="C4738">
        <f>LOG10(1.019269)</f>
        <v>8.2888158006696744E-3</v>
      </c>
      <c r="D4738">
        <f>LOG10(3.352315)</f>
        <v>0.52534482032049068</v>
      </c>
    </row>
    <row r="4739" spans="1:4">
      <c r="A4739">
        <v>1.0337750000000001</v>
      </c>
      <c r="B4739">
        <v>3.2513339999999999</v>
      </c>
      <c r="C4739">
        <f>LOG10(1.033775)</f>
        <v>1.4426025323131381E-2</v>
      </c>
      <c r="D4739">
        <f>LOG10(3.251334)</f>
        <v>0.51206158558539039</v>
      </c>
    </row>
    <row r="4740" spans="1:4">
      <c r="A4740">
        <v>1.0324770000000001</v>
      </c>
      <c r="B4740">
        <v>3.2228500000000002</v>
      </c>
      <c r="C4740">
        <f>LOG10(1.032477)</f>
        <v>1.3880385864186343E-2</v>
      </c>
      <c r="D4740">
        <f>LOG10(3.22285)</f>
        <v>0.50824009276388482</v>
      </c>
    </row>
    <row r="4741" spans="1:4">
      <c r="A4741">
        <v>1.0374369999999999</v>
      </c>
      <c r="B4741">
        <v>3.3259219999999998</v>
      </c>
      <c r="C4741">
        <f>LOG10(1.037437)</f>
        <v>1.596173296668503E-2</v>
      </c>
      <c r="D4741">
        <f>LOG10(3.325922)</f>
        <v>0.52191205986642109</v>
      </c>
    </row>
    <row r="4742" spans="1:4">
      <c r="A4742">
        <v>1.0426359999999999</v>
      </c>
      <c r="B4742">
        <v>3.2934290000000002</v>
      </c>
      <c r="C4742">
        <f>LOG10(1.042636)</f>
        <v>1.8132716113185794E-2</v>
      </c>
      <c r="D4742">
        <f>LOG10(3.293429)</f>
        <v>0.51764830532403827</v>
      </c>
    </row>
    <row r="4743" spans="1:4">
      <c r="A4743">
        <v>1.0314140000000001</v>
      </c>
      <c r="B4743">
        <v>3.3299500000000002</v>
      </c>
      <c r="C4743">
        <f>LOG10(1.031414)</f>
        <v>1.343302204983305E-2</v>
      </c>
      <c r="D4743">
        <f>LOG10(3.32995)</f>
        <v>0.52243771251919668</v>
      </c>
    </row>
    <row r="4744" spans="1:4">
      <c r="A4744">
        <v>1.0239469999999999</v>
      </c>
      <c r="B4744">
        <v>3.259887</v>
      </c>
      <c r="C4744">
        <f>LOG10(1.023947)</f>
        <v>1.027747792571824E-2</v>
      </c>
      <c r="D4744">
        <f>LOG10(3.259887)</f>
        <v>0.51320254604124804</v>
      </c>
    </row>
    <row r="4745" spans="1:4">
      <c r="A4745">
        <v>1.017808</v>
      </c>
      <c r="B4745">
        <v>3.327893</v>
      </c>
      <c r="C4745">
        <f>LOG10(1.017808)</f>
        <v>7.6658601177444627E-3</v>
      </c>
      <c r="D4745">
        <f>LOG10(3.327893)</f>
        <v>0.52216935420023369</v>
      </c>
    </row>
    <row r="4746" spans="1:4">
      <c r="A4746">
        <v>1.0233920000000001</v>
      </c>
      <c r="B4746">
        <v>3.2951109999999999</v>
      </c>
      <c r="C4746">
        <f>LOG10(1.023392)</f>
        <v>1.0042017707981497E-2</v>
      </c>
      <c r="D4746">
        <f>LOG10(3.295111)</f>
        <v>0.51787004893777688</v>
      </c>
    </row>
    <row r="4747" spans="1:4">
      <c r="A4747">
        <v>1.0241560000000001</v>
      </c>
      <c r="B4747">
        <v>3.213015</v>
      </c>
      <c r="C4747">
        <f>LOG10(1.024156)</f>
        <v>1.0366113650613813E-2</v>
      </c>
      <c r="D4747">
        <f>LOG10(3.213015)</f>
        <v>0.50691275306537498</v>
      </c>
    </row>
    <row r="4748" spans="1:4">
      <c r="A4748">
        <v>1.033514</v>
      </c>
      <c r="B4748">
        <v>3.2196750000000001</v>
      </c>
      <c r="C4748">
        <f>LOG10(1.033514)</f>
        <v>1.4316363964338262E-2</v>
      </c>
      <c r="D4748">
        <f>LOG10(3.219675)</f>
        <v>0.50781203541318054</v>
      </c>
    </row>
    <row r="4749" spans="1:4">
      <c r="A4749">
        <v>1.02393</v>
      </c>
      <c r="B4749">
        <v>3.3043580000000001</v>
      </c>
      <c r="C4749">
        <f>LOG10(1.02393)</f>
        <v>1.0270267525686895E-2</v>
      </c>
      <c r="D4749">
        <f>LOG10(3.304358)</f>
        <v>0.51908709343099213</v>
      </c>
    </row>
    <row r="4750" spans="1:4">
      <c r="A4750">
        <v>1.0253239999999999</v>
      </c>
      <c r="B4750">
        <v>3.210194</v>
      </c>
      <c r="C4750">
        <f>LOG10(1.025324)</f>
        <v>1.0861123125973036E-2</v>
      </c>
      <c r="D4750">
        <f>LOG10(3.210194)</f>
        <v>0.50653127869260572</v>
      </c>
    </row>
    <row r="4751" spans="1:4">
      <c r="A4751">
        <v>1.024791</v>
      </c>
      <c r="B4751">
        <v>3.201282</v>
      </c>
      <c r="C4751">
        <f>LOG10(1.024791)</f>
        <v>1.0635302658272644E-2</v>
      </c>
      <c r="D4751">
        <f>LOG10(3.201282)</f>
        <v>0.50532393270380715</v>
      </c>
    </row>
    <row r="4752" spans="1:4">
      <c r="A4752">
        <v>1.024661</v>
      </c>
      <c r="B4752">
        <v>3.3297330000000001</v>
      </c>
      <c r="C4752">
        <f>LOG10(1.024661)</f>
        <v>1.0580206678739454E-2</v>
      </c>
      <c r="D4752">
        <f>LOG10(3.329733)</f>
        <v>0.52240941030042554</v>
      </c>
    </row>
    <row r="4753" spans="1:4">
      <c r="A4753">
        <v>1.0267379999999999</v>
      </c>
      <c r="B4753">
        <v>2.6636950000000001</v>
      </c>
      <c r="C4753">
        <f>LOG10(1.026738)</f>
        <v>1.1459635738752956E-2</v>
      </c>
      <c r="D4753">
        <f>LOG10(2.663695)</f>
        <v>0.425484495498193</v>
      </c>
    </row>
    <row r="4754" spans="1:4">
      <c r="A4754">
        <v>1.0116609999999999</v>
      </c>
      <c r="B4754">
        <v>3.4390130000000001</v>
      </c>
      <c r="C4754">
        <f>LOG10(1.011661)</f>
        <v>5.0350080633207632E-3</v>
      </c>
      <c r="D4754">
        <f>LOG10(3.439013)</f>
        <v>0.53643381752529751</v>
      </c>
    </row>
    <row r="4755" spans="1:4">
      <c r="A4755">
        <v>1.0114449999999999</v>
      </c>
      <c r="B4755">
        <v>3.371041</v>
      </c>
      <c r="C4755">
        <f>LOG10(1.011445)</f>
        <v>4.9422718365016638E-3</v>
      </c>
      <c r="D4755">
        <f>LOG10(3.371041)</f>
        <v>0.52776403462286314</v>
      </c>
    </row>
    <row r="4756" spans="1:4">
      <c r="A4756">
        <v>1.0159309999999999</v>
      </c>
      <c r="B4756">
        <v>3.4533580000000001</v>
      </c>
      <c r="C4756">
        <f>LOG10(1.015931)</f>
        <v>6.8642125376105548E-3</v>
      </c>
      <c r="D4756">
        <f>LOG10(3.453358)</f>
        <v>0.53824160278191513</v>
      </c>
    </row>
    <row r="4757" spans="1:4">
      <c r="A4757">
        <v>1.0103219999999999</v>
      </c>
      <c r="B4757">
        <v>3.3575550000000001</v>
      </c>
      <c r="C4757">
        <f>LOG10(1.010322)</f>
        <v>4.4598099570315334E-3</v>
      </c>
      <c r="D4757">
        <f>LOG10(3.357555)</f>
        <v>0.52602313556290159</v>
      </c>
    </row>
    <row r="4758" spans="1:4">
      <c r="A4758">
        <v>1.0115810000000001</v>
      </c>
      <c r="B4758">
        <v>3.3657330000000001</v>
      </c>
      <c r="C4758">
        <f>LOG10(1.011581)</f>
        <v>5.0006636215087557E-3</v>
      </c>
      <c r="D4758">
        <f>LOG10(3.365733)</f>
        <v>0.52707966088938785</v>
      </c>
    </row>
    <row r="4759" spans="1:4">
      <c r="A4759">
        <v>1.009198</v>
      </c>
      <c r="B4759">
        <v>3.3557299999999999</v>
      </c>
      <c r="C4759">
        <f>LOG10(1.009198)</f>
        <v>3.9763811738916782E-3</v>
      </c>
      <c r="D4759">
        <f>LOG10(3.35573)</f>
        <v>0.52578701049179322</v>
      </c>
    </row>
    <row r="4760" spans="1:4">
      <c r="A4760">
        <v>1.0051380000000001</v>
      </c>
      <c r="B4760">
        <v>3.2917969999999999</v>
      </c>
      <c r="C4760">
        <f>LOG10(1.005138)</f>
        <v>2.2256921287476346E-3</v>
      </c>
      <c r="D4760">
        <f>LOG10(3.291797)</f>
        <v>0.5174330451009338</v>
      </c>
    </row>
    <row r="4761" spans="1:4">
      <c r="A4761">
        <v>1.0063569999999999</v>
      </c>
      <c r="B4761">
        <v>3.3048690000000001</v>
      </c>
      <c r="C4761">
        <f>LOG10(1.006357)</f>
        <v>2.7520717998372043E-3</v>
      </c>
      <c r="D4761">
        <f>LOG10(3.304869)</f>
        <v>0.5191542493875646</v>
      </c>
    </row>
    <row r="4762" spans="1:4">
      <c r="A4762">
        <v>1.0075510000000001</v>
      </c>
      <c r="B4762">
        <v>3.1119460000000001</v>
      </c>
      <c r="C4762">
        <f>LOG10(1.007551)</f>
        <v>3.2670383942890071E-3</v>
      </c>
      <c r="D4762">
        <f>LOG10(3.111946)</f>
        <v>0.49303205229403435</v>
      </c>
    </row>
    <row r="4763" spans="1:4">
      <c r="A4763">
        <v>1.011026</v>
      </c>
      <c r="B4763">
        <v>3.2999390000000002</v>
      </c>
      <c r="C4763">
        <f>LOG10(1.011026)</f>
        <v>4.7623242471213096E-3</v>
      </c>
      <c r="D4763">
        <f>LOG10(3.299939)</f>
        <v>0.51850591193599382</v>
      </c>
    </row>
    <row r="4764" spans="1:4">
      <c r="A4764">
        <v>1.009765</v>
      </c>
      <c r="B4764">
        <v>3.3756170000000001</v>
      </c>
      <c r="C4764">
        <f>LOG10(1.009765)</f>
        <v>4.2203133090649141E-3</v>
      </c>
      <c r="D4764">
        <f>LOG10(3.375617)</f>
        <v>0.52835316537587873</v>
      </c>
    </row>
    <row r="4765" spans="1:4">
      <c r="A4765">
        <v>1.005242</v>
      </c>
      <c r="B4765">
        <v>3.3370410000000001</v>
      </c>
      <c r="C4765">
        <f>LOG10(1.005242)</f>
        <v>2.2706255504471918E-3</v>
      </c>
      <c r="D4765">
        <f>LOG10(3.337041)</f>
        <v>0.52336154257459255</v>
      </c>
    </row>
    <row r="4766" spans="1:4">
      <c r="A4766">
        <v>1.0074590000000001</v>
      </c>
      <c r="B4766">
        <v>3.2465030000000001</v>
      </c>
      <c r="C4766">
        <f>LOG10(1.007459)</f>
        <v>3.2273809311867351E-3</v>
      </c>
      <c r="D4766">
        <f>LOG10(3.246503)</f>
        <v>0.51141580852799351</v>
      </c>
    </row>
    <row r="4767" spans="1:4">
      <c r="A4767">
        <v>1.0124759999999999</v>
      </c>
      <c r="B4767">
        <v>3.359102</v>
      </c>
      <c r="C4767">
        <f>LOG10(1.012476)</f>
        <v>5.3847373769774602E-3</v>
      </c>
      <c r="D4767">
        <f>LOG10(3.359102)</f>
        <v>0.5262231915060247</v>
      </c>
    </row>
    <row r="4768" spans="1:4">
      <c r="A4768">
        <v>1.014465</v>
      </c>
      <c r="B4768">
        <v>3.4573749999999999</v>
      </c>
      <c r="C4768">
        <f>LOG10(1.014465)</f>
        <v>6.2370680582991573E-3</v>
      </c>
      <c r="D4768">
        <f>LOG10(3.457375)</f>
        <v>0.53874648732318908</v>
      </c>
    </row>
    <row r="4769" spans="1:4">
      <c r="A4769">
        <v>1.013781</v>
      </c>
      <c r="B4769">
        <v>3.4350179999999999</v>
      </c>
      <c r="C4769">
        <f>LOG10(1.013781)</f>
        <v>5.9441475379252724E-3</v>
      </c>
      <c r="D4769">
        <f>LOG10(3.435018)</f>
        <v>0.53592901716855101</v>
      </c>
    </row>
    <row r="4770" spans="1:4">
      <c r="A4770">
        <v>1.014921</v>
      </c>
      <c r="B4770">
        <v>3.8460549999999998</v>
      </c>
      <c r="C4770">
        <f>LOG10(1.014921)</f>
        <v>6.4322387030959919E-3</v>
      </c>
      <c r="D4770">
        <f>LOG10(3.846055)</f>
        <v>0.58501549051757107</v>
      </c>
    </row>
    <row r="4771" spans="1:4">
      <c r="A4771">
        <v>1.018402</v>
      </c>
      <c r="B4771">
        <v>4.034389</v>
      </c>
      <c r="C4771">
        <f>LOG10(1.018402)</f>
        <v>7.9192435404447439E-3</v>
      </c>
      <c r="D4771">
        <f>LOG10(4.034389)</f>
        <v>0.60577777102312402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stat.1800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Himbeault</dc:creator>
  <cp:lastModifiedBy>Michael Himbeault</cp:lastModifiedBy>
  <dcterms:created xsi:type="dcterms:W3CDTF">2010-06-02T14:48:39Z</dcterms:created>
  <dcterms:modified xsi:type="dcterms:W3CDTF">2010-06-02T14:48:40Z</dcterms:modified>
</cp:coreProperties>
</file>